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Решения Думы о бюджете\Бюджет на 2024-2026 годы\Решения Думы 2024-2026\Решения Думы на 2024-2026 годы\3. Бюджет на 2024-2026 годы сентябрь 2024\"/>
    </mc:Choice>
  </mc:AlternateContent>
  <xr:revisionPtr revIDLastSave="0" documentId="13_ncr:1_{623A27BC-B598-4A1F-BFCD-643E07D381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мп" sheetId="1" r:id="rId1"/>
    <sheet name="Лист2" sheetId="2" r:id="rId2"/>
    <sheet name="Лист1" sheetId="3" r:id="rId3"/>
  </sheets>
  <definedNames>
    <definedName name="_xlnm._FilterDatabase" localSheetId="0" hidden="1">мп!$A$7:$Q$744</definedName>
    <definedName name="_xlnm.Print_Titles" localSheetId="0">мп!$8:$8</definedName>
    <definedName name="_xlnm.Print_Area" localSheetId="0">мп!$A$1:$G$773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5" i="1" l="1"/>
  <c r="E278" i="1"/>
  <c r="E722" i="1"/>
  <c r="E650" i="1"/>
  <c r="E648" i="1"/>
  <c r="E616" i="1"/>
  <c r="E227" i="1" l="1"/>
  <c r="E159" i="1"/>
  <c r="E120" i="1"/>
  <c r="E96" i="1"/>
  <c r="E626" i="1"/>
  <c r="E625" i="1" s="1"/>
  <c r="E604" i="1"/>
  <c r="E583" i="1"/>
  <c r="E752" i="1"/>
  <c r="E751" i="1" s="1"/>
  <c r="E677" i="1"/>
  <c r="E676" i="1" s="1"/>
  <c r="E740" i="1"/>
  <c r="E721" i="1"/>
  <c r="G719" i="1"/>
  <c r="G718" i="1" s="1"/>
  <c r="G717" i="1" s="1"/>
  <c r="E701" i="1"/>
  <c r="E700" i="1" s="1"/>
  <c r="E699" i="1"/>
  <c r="E690" i="1"/>
  <c r="E689" i="1" s="1"/>
  <c r="E688" i="1" s="1"/>
  <c r="E687" i="1" s="1"/>
  <c r="E682" i="1"/>
  <c r="E679" i="1"/>
  <c r="E678" i="1" s="1"/>
  <c r="E671" i="1"/>
  <c r="E670" i="1" s="1"/>
  <c r="E665" i="1"/>
  <c r="E661" i="1"/>
  <c r="E660" i="1" s="1"/>
  <c r="E659" i="1" s="1"/>
  <c r="E658" i="1" s="1"/>
  <c r="E653" i="1"/>
  <c r="E649" i="1"/>
  <c r="E647" i="1"/>
  <c r="E644" i="1"/>
  <c r="E643" i="1" s="1"/>
  <c r="E642" i="1"/>
  <c r="E641" i="1" s="1"/>
  <c r="E638" i="1"/>
  <c r="E637" i="1" s="1"/>
  <c r="E632" i="1"/>
  <c r="E631" i="1" s="1"/>
  <c r="E630" i="1" s="1"/>
  <c r="E629" i="1" s="1"/>
  <c r="E628" i="1"/>
  <c r="E627" i="1" s="1"/>
  <c r="E624" i="1"/>
  <c r="E623" i="1" s="1"/>
  <c r="E620" i="1"/>
  <c r="E619" i="1" s="1"/>
  <c r="E618" i="1"/>
  <c r="E615" i="1"/>
  <c r="E612" i="1"/>
  <c r="E602" i="1"/>
  <c r="E601" i="1" s="1"/>
  <c r="E594" i="1"/>
  <c r="E572" i="1"/>
  <c r="G583" i="1"/>
  <c r="F583" i="1"/>
  <c r="E579" i="1"/>
  <c r="E571" i="1"/>
  <c r="G582" i="1"/>
  <c r="G580" i="1" s="1"/>
  <c r="F582" i="1"/>
  <c r="F580" i="1" s="1"/>
  <c r="E582" i="1"/>
  <c r="E578" i="1"/>
  <c r="E577" i="1"/>
  <c r="E568" i="1"/>
  <c r="E567" i="1"/>
  <c r="E575" i="1"/>
  <c r="E566" i="1"/>
  <c r="G765" i="1"/>
  <c r="G764" i="1" s="1"/>
  <c r="G763" i="1" s="1"/>
  <c r="F765" i="1"/>
  <c r="F764" i="1" s="1"/>
  <c r="F763" i="1" s="1"/>
  <c r="E765" i="1"/>
  <c r="E764" i="1"/>
  <c r="E763" i="1" s="1"/>
  <c r="G761" i="1"/>
  <c r="F761" i="1"/>
  <c r="E761" i="1"/>
  <c r="G760" i="1"/>
  <c r="G759" i="1" s="1"/>
  <c r="F760" i="1"/>
  <c r="F759" i="1" s="1"/>
  <c r="E760" i="1"/>
  <c r="E759" i="1" s="1"/>
  <c r="G757" i="1"/>
  <c r="F757" i="1"/>
  <c r="F756" i="1" s="1"/>
  <c r="F755" i="1" s="1"/>
  <c r="E757" i="1"/>
  <c r="E756" i="1" s="1"/>
  <c r="E755" i="1" s="1"/>
  <c r="G756" i="1"/>
  <c r="G755" i="1" s="1"/>
  <c r="G752" i="1"/>
  <c r="G751" i="1" s="1"/>
  <c r="F752" i="1"/>
  <c r="F751" i="1" s="1"/>
  <c r="G750" i="1"/>
  <c r="G749" i="1" s="1"/>
  <c r="F750" i="1"/>
  <c r="F749" i="1" s="1"/>
  <c r="E750" i="1"/>
  <c r="E749" i="1" s="1"/>
  <c r="G745" i="1"/>
  <c r="G744" i="1" s="1"/>
  <c r="G743" i="1" s="1"/>
  <c r="F745" i="1"/>
  <c r="F744" i="1" s="1"/>
  <c r="F743" i="1" s="1"/>
  <c r="E745" i="1"/>
  <c r="E744" i="1" s="1"/>
  <c r="E743" i="1" s="1"/>
  <c r="E742" i="1"/>
  <c r="E741" i="1" s="1"/>
  <c r="G741" i="1"/>
  <c r="F741" i="1"/>
  <c r="G740" i="1"/>
  <c r="G739" i="1" s="1"/>
  <c r="F740" i="1"/>
  <c r="F739" i="1" s="1"/>
  <c r="E739" i="1"/>
  <c r="G737" i="1"/>
  <c r="G736" i="1" s="1"/>
  <c r="F737" i="1"/>
  <c r="F736" i="1" s="1"/>
  <c r="E737" i="1"/>
  <c r="E736" i="1" s="1"/>
  <c r="G735" i="1"/>
  <c r="F735" i="1"/>
  <c r="F734" i="1" s="1"/>
  <c r="E735" i="1"/>
  <c r="E734" i="1" s="1"/>
  <c r="G734" i="1"/>
  <c r="G732" i="1"/>
  <c r="G731" i="1" s="1"/>
  <c r="F732" i="1"/>
  <c r="F731" i="1" s="1"/>
  <c r="E732" i="1"/>
  <c r="E731" i="1" s="1"/>
  <c r="G730" i="1"/>
  <c r="G729" i="1" s="1"/>
  <c r="F730" i="1"/>
  <c r="F729" i="1" s="1"/>
  <c r="E730" i="1"/>
  <c r="E729" i="1" s="1"/>
  <c r="G725" i="1"/>
  <c r="G724" i="1" s="1"/>
  <c r="G723" i="1" s="1"/>
  <c r="F725" i="1"/>
  <c r="F724" i="1" s="1"/>
  <c r="F723" i="1" s="1"/>
  <c r="E725" i="1"/>
  <c r="E724" i="1" s="1"/>
  <c r="E723" i="1" s="1"/>
  <c r="G722" i="1"/>
  <c r="G721" i="1" s="1"/>
  <c r="F722" i="1"/>
  <c r="F721" i="1" s="1"/>
  <c r="F719" i="1"/>
  <c r="F718" i="1" s="1"/>
  <c r="F717" i="1" s="1"/>
  <c r="E719" i="1"/>
  <c r="E718" i="1" s="1"/>
  <c r="E717" i="1" s="1"/>
  <c r="G715" i="1"/>
  <c r="G714" i="1" s="1"/>
  <c r="F715" i="1"/>
  <c r="F714" i="1" s="1"/>
  <c r="E715" i="1"/>
  <c r="E714" i="1" s="1"/>
  <c r="G713" i="1"/>
  <c r="G712" i="1" s="1"/>
  <c r="F713" i="1"/>
  <c r="F712" i="1" s="1"/>
  <c r="E713" i="1"/>
  <c r="E712" i="1"/>
  <c r="G708" i="1"/>
  <c r="G707" i="1" s="1"/>
  <c r="F708" i="1"/>
  <c r="F707" i="1" s="1"/>
  <c r="E708" i="1"/>
  <c r="E707" i="1" s="1"/>
  <c r="G706" i="1"/>
  <c r="G705" i="1" s="1"/>
  <c r="F706" i="1"/>
  <c r="F705" i="1" s="1"/>
  <c r="E706" i="1"/>
  <c r="E705" i="1" s="1"/>
  <c r="G701" i="1"/>
  <c r="G700" i="1" s="1"/>
  <c r="F701" i="1"/>
  <c r="F700" i="1" s="1"/>
  <c r="G699" i="1"/>
  <c r="G698" i="1" s="1"/>
  <c r="F699" i="1"/>
  <c r="F698" i="1" s="1"/>
  <c r="E698" i="1"/>
  <c r="G694" i="1"/>
  <c r="G693" i="1" s="1"/>
  <c r="G692" i="1" s="1"/>
  <c r="G691" i="1" s="1"/>
  <c r="F694" i="1"/>
  <c r="F693" i="1" s="1"/>
  <c r="F692" i="1" s="1"/>
  <c r="F691" i="1" s="1"/>
  <c r="E694" i="1"/>
  <c r="E693" i="1" s="1"/>
  <c r="E692" i="1" s="1"/>
  <c r="E691" i="1" s="1"/>
  <c r="G690" i="1"/>
  <c r="G689" i="1" s="1"/>
  <c r="G688" i="1" s="1"/>
  <c r="G687" i="1" s="1"/>
  <c r="F690" i="1"/>
  <c r="F689" i="1" s="1"/>
  <c r="F688" i="1" s="1"/>
  <c r="F687" i="1" s="1"/>
  <c r="G686" i="1"/>
  <c r="G685" i="1" s="1"/>
  <c r="G684" i="1" s="1"/>
  <c r="G683" i="1" s="1"/>
  <c r="E686" i="1"/>
  <c r="E685" i="1" s="1"/>
  <c r="E684" i="1" s="1"/>
  <c r="E683" i="1" s="1"/>
  <c r="F685" i="1"/>
  <c r="F684" i="1" s="1"/>
  <c r="F683" i="1" s="1"/>
  <c r="G682" i="1"/>
  <c r="G681" i="1" s="1"/>
  <c r="G680" i="1" s="1"/>
  <c r="F682" i="1"/>
  <c r="F681" i="1" s="1"/>
  <c r="F680" i="1" s="1"/>
  <c r="E681" i="1"/>
  <c r="E680" i="1" s="1"/>
  <c r="G679" i="1"/>
  <c r="F679" i="1"/>
  <c r="F678" i="1" s="1"/>
  <c r="G678" i="1"/>
  <c r="G677" i="1"/>
  <c r="G676" i="1" s="1"/>
  <c r="F677" i="1"/>
  <c r="F676" i="1" s="1"/>
  <c r="G673" i="1"/>
  <c r="G672" i="1" s="1"/>
  <c r="F673" i="1"/>
  <c r="F672" i="1" s="1"/>
  <c r="E673" i="1"/>
  <c r="E672" i="1" s="1"/>
  <c r="G671" i="1"/>
  <c r="G670" i="1" s="1"/>
  <c r="F671" i="1"/>
  <c r="F670" i="1" s="1"/>
  <c r="G669" i="1"/>
  <c r="G668" i="1" s="1"/>
  <c r="F669" i="1"/>
  <c r="F668" i="1" s="1"/>
  <c r="E669" i="1"/>
  <c r="E668" i="1" s="1"/>
  <c r="G665" i="1"/>
  <c r="G664" i="1" s="1"/>
  <c r="G663" i="1" s="1"/>
  <c r="G662" i="1" s="1"/>
  <c r="F665" i="1"/>
  <c r="F664" i="1" s="1"/>
  <c r="F663" i="1" s="1"/>
  <c r="F662" i="1" s="1"/>
  <c r="E664" i="1"/>
  <c r="E663" i="1" s="1"/>
  <c r="E662" i="1" s="1"/>
  <c r="G661" i="1"/>
  <c r="G660" i="1" s="1"/>
  <c r="G659" i="1" s="1"/>
  <c r="G658" i="1" s="1"/>
  <c r="F661" i="1"/>
  <c r="F660" i="1"/>
  <c r="F659" i="1" s="1"/>
  <c r="F658" i="1" s="1"/>
  <c r="G656" i="1"/>
  <c r="G655" i="1" s="1"/>
  <c r="G654" i="1" s="1"/>
  <c r="F656" i="1"/>
  <c r="E656" i="1"/>
  <c r="E655" i="1" s="1"/>
  <c r="E654" i="1" s="1"/>
  <c r="F655" i="1"/>
  <c r="F654" i="1" s="1"/>
  <c r="G653" i="1"/>
  <c r="G652" i="1" s="1"/>
  <c r="G651" i="1" s="1"/>
  <c r="F653" i="1"/>
  <c r="F652" i="1" s="1"/>
  <c r="F651" i="1" s="1"/>
  <c r="E652" i="1"/>
  <c r="E651" i="1" s="1"/>
  <c r="G649" i="1"/>
  <c r="F649" i="1"/>
  <c r="G648" i="1"/>
  <c r="G647" i="1" s="1"/>
  <c r="F648" i="1"/>
  <c r="F647" i="1" s="1"/>
  <c r="G644" i="1"/>
  <c r="G643" i="1" s="1"/>
  <c r="F644" i="1"/>
  <c r="F643" i="1" s="1"/>
  <c r="G642" i="1"/>
  <c r="G641" i="1" s="1"/>
  <c r="F642" i="1"/>
  <c r="F641" i="1"/>
  <c r="G638" i="1"/>
  <c r="G637" i="1" s="1"/>
  <c r="F638" i="1"/>
  <c r="F637" i="1" s="1"/>
  <c r="G636" i="1"/>
  <c r="G635" i="1" s="1"/>
  <c r="F636" i="1"/>
  <c r="F635" i="1" s="1"/>
  <c r="E636" i="1"/>
  <c r="E635" i="1" s="1"/>
  <c r="G632" i="1"/>
  <c r="G631" i="1" s="1"/>
  <c r="G630" i="1" s="1"/>
  <c r="G629" i="1" s="1"/>
  <c r="F632" i="1"/>
  <c r="F631" i="1" s="1"/>
  <c r="F630" i="1" s="1"/>
  <c r="F629" i="1" s="1"/>
  <c r="G628" i="1"/>
  <c r="G627" i="1" s="1"/>
  <c r="F628" i="1"/>
  <c r="F627" i="1" s="1"/>
  <c r="G625" i="1"/>
  <c r="F625" i="1"/>
  <c r="G624" i="1"/>
  <c r="G623" i="1" s="1"/>
  <c r="F624" i="1"/>
  <c r="F623" i="1" s="1"/>
  <c r="G619" i="1"/>
  <c r="F619" i="1"/>
  <c r="G618" i="1"/>
  <c r="G617" i="1" s="1"/>
  <c r="F618" i="1"/>
  <c r="F617" i="1" s="1"/>
  <c r="E617" i="1"/>
  <c r="G616" i="1"/>
  <c r="G615" i="1" s="1"/>
  <c r="F616" i="1"/>
  <c r="F615" i="1" s="1"/>
  <c r="G612" i="1"/>
  <c r="G611" i="1" s="1"/>
  <c r="G610" i="1" s="1"/>
  <c r="F612" i="1"/>
  <c r="F611" i="1" s="1"/>
  <c r="F610" i="1" s="1"/>
  <c r="E611" i="1"/>
  <c r="E610" i="1" s="1"/>
  <c r="G608" i="1"/>
  <c r="G607" i="1" s="1"/>
  <c r="G606" i="1" s="1"/>
  <c r="F608" i="1"/>
  <c r="F607" i="1" s="1"/>
  <c r="F606" i="1" s="1"/>
  <c r="E608" i="1"/>
  <c r="E607" i="1" s="1"/>
  <c r="E606" i="1" s="1"/>
  <c r="G605" i="1"/>
  <c r="F605" i="1"/>
  <c r="E605" i="1"/>
  <c r="E603" i="1" s="1"/>
  <c r="G604" i="1"/>
  <c r="F604" i="1"/>
  <c r="G602" i="1"/>
  <c r="G601" i="1" s="1"/>
  <c r="F602" i="1"/>
  <c r="F601" i="1" s="1"/>
  <c r="G598" i="1"/>
  <c r="G597" i="1" s="1"/>
  <c r="F598" i="1"/>
  <c r="F597" i="1" s="1"/>
  <c r="E598" i="1"/>
  <c r="E597" i="1" s="1"/>
  <c r="G596" i="1"/>
  <c r="G595" i="1" s="1"/>
  <c r="F596" i="1"/>
  <c r="F595" i="1" s="1"/>
  <c r="E596" i="1"/>
  <c r="E595" i="1" s="1"/>
  <c r="G594" i="1"/>
  <c r="G593" i="1" s="1"/>
  <c r="F594" i="1"/>
  <c r="F593" i="1" s="1"/>
  <c r="E593" i="1"/>
  <c r="G592" i="1"/>
  <c r="G591" i="1" s="1"/>
  <c r="F592" i="1"/>
  <c r="F591" i="1" s="1"/>
  <c r="E591" i="1"/>
  <c r="G589" i="1"/>
  <c r="G588" i="1" s="1"/>
  <c r="G587" i="1" s="1"/>
  <c r="F589" i="1"/>
  <c r="F588" i="1" s="1"/>
  <c r="F587" i="1" s="1"/>
  <c r="E589" i="1"/>
  <c r="E588" i="1" s="1"/>
  <c r="E587" i="1" s="1"/>
  <c r="G586" i="1"/>
  <c r="G585" i="1" s="1"/>
  <c r="G584" i="1" s="1"/>
  <c r="F586" i="1"/>
  <c r="F585" i="1" s="1"/>
  <c r="F584" i="1" s="1"/>
  <c r="E586" i="1"/>
  <c r="E585" i="1" s="1"/>
  <c r="E584" i="1" s="1"/>
  <c r="G579" i="1"/>
  <c r="F579" i="1"/>
  <c r="G577" i="1"/>
  <c r="F577" i="1"/>
  <c r="G576" i="1"/>
  <c r="F576" i="1"/>
  <c r="E576" i="1"/>
  <c r="G575" i="1"/>
  <c r="F575" i="1"/>
  <c r="G572" i="1"/>
  <c r="F572" i="1"/>
  <c r="G567" i="1"/>
  <c r="F567" i="1"/>
  <c r="G566" i="1"/>
  <c r="F566" i="1"/>
  <c r="G565" i="1"/>
  <c r="F565" i="1"/>
  <c r="E565" i="1"/>
  <c r="G562" i="1"/>
  <c r="G561" i="1" s="1"/>
  <c r="G560" i="1" s="1"/>
  <c r="F562" i="1"/>
  <c r="F561" i="1" s="1"/>
  <c r="F560" i="1" s="1"/>
  <c r="E562" i="1"/>
  <c r="E561" i="1" s="1"/>
  <c r="E560" i="1" s="1"/>
  <c r="F225" i="1"/>
  <c r="E238" i="1"/>
  <c r="G547" i="1"/>
  <c r="G546" i="1" s="1"/>
  <c r="F547" i="1"/>
  <c r="F546" i="1" s="1"/>
  <c r="E547" i="1"/>
  <c r="E546" i="1" s="1"/>
  <c r="E550" i="1"/>
  <c r="E545" i="1"/>
  <c r="G541" i="1"/>
  <c r="G540" i="1" s="1"/>
  <c r="F541" i="1"/>
  <c r="F540" i="1" s="1"/>
  <c r="E541" i="1"/>
  <c r="E540" i="1" s="1"/>
  <c r="E529" i="1"/>
  <c r="E505" i="1"/>
  <c r="E493" i="1"/>
  <c r="G486" i="1"/>
  <c r="G485" i="1" s="1"/>
  <c r="F486" i="1"/>
  <c r="F485" i="1" s="1"/>
  <c r="E486" i="1"/>
  <c r="E485" i="1" s="1"/>
  <c r="E484" i="1"/>
  <c r="E479" i="1"/>
  <c r="E472" i="1"/>
  <c r="F462" i="1"/>
  <c r="E458" i="1"/>
  <c r="E457" i="1" s="1"/>
  <c r="G455" i="1"/>
  <c r="F455" i="1"/>
  <c r="F452" i="1"/>
  <c r="E452" i="1"/>
  <c r="E448" i="1"/>
  <c r="E440" i="1"/>
  <c r="G440" i="1"/>
  <c r="F440" i="1"/>
  <c r="G441" i="1"/>
  <c r="F441" i="1"/>
  <c r="E441" i="1"/>
  <c r="G442" i="1"/>
  <c r="F442" i="1"/>
  <c r="E442" i="1"/>
  <c r="G444" i="1"/>
  <c r="G443" i="1" s="1"/>
  <c r="F444" i="1"/>
  <c r="F443" i="1" s="1"/>
  <c r="E444" i="1"/>
  <c r="E443" i="1" s="1"/>
  <c r="G434" i="1"/>
  <c r="G433" i="1" s="1"/>
  <c r="F434" i="1"/>
  <c r="F433" i="1" s="1"/>
  <c r="E434" i="1"/>
  <c r="E433" i="1" s="1"/>
  <c r="E428" i="1"/>
  <c r="E384" i="1"/>
  <c r="E381" i="1"/>
  <c r="G363" i="1"/>
  <c r="G362" i="1" s="1"/>
  <c r="G361" i="1" s="1"/>
  <c r="F363" i="1"/>
  <c r="F362" i="1" s="1"/>
  <c r="F361" i="1" s="1"/>
  <c r="E363" i="1"/>
  <c r="E362" i="1" s="1"/>
  <c r="E361" i="1" s="1"/>
  <c r="F360" i="1"/>
  <c r="E360" i="1"/>
  <c r="E358" i="1"/>
  <c r="E357" i="1" s="1"/>
  <c r="E338" i="1"/>
  <c r="E334" i="1"/>
  <c r="F330" i="1"/>
  <c r="E330" i="1"/>
  <c r="G327" i="1"/>
  <c r="G326" i="1" s="1"/>
  <c r="G325" i="1" s="1"/>
  <c r="F327" i="1"/>
  <c r="F326" i="1" s="1"/>
  <c r="F325" i="1" s="1"/>
  <c r="E327" i="1"/>
  <c r="E326" i="1" s="1"/>
  <c r="E325" i="1" s="1"/>
  <c r="E315" i="1"/>
  <c r="E314" i="1"/>
  <c r="E311" i="1"/>
  <c r="F309" i="1"/>
  <c r="E307" i="1"/>
  <c r="G305" i="1"/>
  <c r="G304" i="1" s="1"/>
  <c r="F305" i="1"/>
  <c r="F304" i="1" s="1"/>
  <c r="E305" i="1"/>
  <c r="E304" i="1" s="1"/>
  <c r="G300" i="1"/>
  <c r="G299" i="1" s="1"/>
  <c r="F300" i="1"/>
  <c r="F299" i="1" s="1"/>
  <c r="E300" i="1"/>
  <c r="E299" i="1" s="1"/>
  <c r="E298" i="1"/>
  <c r="G291" i="1"/>
  <c r="F291" i="1"/>
  <c r="E291" i="1"/>
  <c r="G287" i="1"/>
  <c r="G286" i="1" s="1"/>
  <c r="G285" i="1" s="1"/>
  <c r="F287" i="1"/>
  <c r="F286" i="1" s="1"/>
  <c r="F285" i="1" s="1"/>
  <c r="E287" i="1"/>
  <c r="E286" i="1" s="1"/>
  <c r="E285" i="1" s="1"/>
  <c r="E284" i="1"/>
  <c r="E283" i="1"/>
  <c r="E279" i="1"/>
  <c r="G269" i="1"/>
  <c r="G268" i="1" s="1"/>
  <c r="F269" i="1"/>
  <c r="F268" i="1" s="1"/>
  <c r="E269" i="1"/>
  <c r="E268" i="1" s="1"/>
  <c r="E257" i="1"/>
  <c r="E256" i="1"/>
  <c r="E254" i="1"/>
  <c r="E253" i="1"/>
  <c r="E252" i="1"/>
  <c r="E250" i="1"/>
  <c r="E245" i="1"/>
  <c r="E229" i="1"/>
  <c r="E225" i="1"/>
  <c r="E208" i="1"/>
  <c r="E170" i="1"/>
  <c r="E165" i="1"/>
  <c r="E157" i="1"/>
  <c r="E116" i="1"/>
  <c r="E113" i="1"/>
  <c r="E112" i="1"/>
  <c r="E110" i="1"/>
  <c r="E89" i="1"/>
  <c r="G162" i="1"/>
  <c r="G161" i="1" s="1"/>
  <c r="G160" i="1" s="1"/>
  <c r="F162" i="1"/>
  <c r="F161" i="1" s="1"/>
  <c r="F160" i="1" s="1"/>
  <c r="E162" i="1"/>
  <c r="E161" i="1" s="1"/>
  <c r="E160" i="1" s="1"/>
  <c r="F157" i="1"/>
  <c r="E155" i="1"/>
  <c r="E143" i="1"/>
  <c r="E136" i="1"/>
  <c r="E127" i="1"/>
  <c r="E125" i="1"/>
  <c r="E109" i="1"/>
  <c r="E99" i="1"/>
  <c r="E97" i="1"/>
  <c r="E95" i="1"/>
  <c r="E92" i="1"/>
  <c r="E90" i="1"/>
  <c r="E88" i="1"/>
  <c r="E76" i="1"/>
  <c r="G66" i="1"/>
  <c r="G65" i="1" s="1"/>
  <c r="F66" i="1"/>
  <c r="F65" i="1" s="1"/>
  <c r="E66" i="1"/>
  <c r="E65" i="1" s="1"/>
  <c r="E37" i="1"/>
  <c r="E35" i="1"/>
  <c r="E249" i="1"/>
  <c r="F357" i="1"/>
  <c r="G357" i="1"/>
  <c r="F423" i="1"/>
  <c r="F338" i="1"/>
  <c r="E50" i="1"/>
  <c r="G573" i="1" l="1"/>
  <c r="F640" i="1"/>
  <c r="F639" i="1" s="1"/>
  <c r="F720" i="1"/>
  <c r="G711" i="1"/>
  <c r="G710" i="1" s="1"/>
  <c r="G709" i="1" s="1"/>
  <c r="E704" i="1"/>
  <c r="E703" i="1" s="1"/>
  <c r="E702" i="1" s="1"/>
  <c r="G640" i="1"/>
  <c r="G639" i="1" s="1"/>
  <c r="F603" i="1"/>
  <c r="G603" i="1"/>
  <c r="G600" i="1" s="1"/>
  <c r="G599" i="1" s="1"/>
  <c r="F748" i="1"/>
  <c r="F747" i="1" s="1"/>
  <c r="F746" i="1" s="1"/>
  <c r="F573" i="1"/>
  <c r="E580" i="1"/>
  <c r="F600" i="1"/>
  <c r="F599" i="1" s="1"/>
  <c r="F758" i="1"/>
  <c r="F754" i="1" s="1"/>
  <c r="F753" i="1" s="1"/>
  <c r="E675" i="1"/>
  <c r="E674" i="1" s="1"/>
  <c r="E590" i="1"/>
  <c r="G614" i="1"/>
  <c r="G613" i="1" s="1"/>
  <c r="G564" i="1"/>
  <c r="G563" i="1" s="1"/>
  <c r="G559" i="1" s="1"/>
  <c r="E697" i="1"/>
  <c r="E696" i="1" s="1"/>
  <c r="E695" i="1" s="1"/>
  <c r="G738" i="1"/>
  <c r="E758" i="1"/>
  <c r="E754" i="1" s="1"/>
  <c r="E753" i="1" s="1"/>
  <c r="F646" i="1"/>
  <c r="F645" i="1" s="1"/>
  <c r="E738" i="1"/>
  <c r="E573" i="1"/>
  <c r="F590" i="1"/>
  <c r="E600" i="1"/>
  <c r="E599" i="1" s="1"/>
  <c r="E733" i="1"/>
  <c r="F738" i="1"/>
  <c r="G704" i="1"/>
  <c r="G703" i="1" s="1"/>
  <c r="G702" i="1" s="1"/>
  <c r="F667" i="1"/>
  <c r="F666" i="1" s="1"/>
  <c r="G733" i="1"/>
  <c r="G590" i="1"/>
  <c r="E720" i="1"/>
  <c r="E716" i="1" s="1"/>
  <c r="E748" i="1"/>
  <c r="E747" i="1" s="1"/>
  <c r="E746" i="1" s="1"/>
  <c r="F614" i="1"/>
  <c r="F613" i="1" s="1"/>
  <c r="F697" i="1"/>
  <c r="F696" i="1" s="1"/>
  <c r="F695" i="1" s="1"/>
  <c r="E634" i="1"/>
  <c r="E633" i="1" s="1"/>
  <c r="F675" i="1"/>
  <c r="F674" i="1" s="1"/>
  <c r="E728" i="1"/>
  <c r="E727" i="1" s="1"/>
  <c r="E726" i="1" s="1"/>
  <c r="F564" i="1"/>
  <c r="E614" i="1"/>
  <c r="E613" i="1" s="1"/>
  <c r="F622" i="1"/>
  <c r="F621" i="1" s="1"/>
  <c r="F634" i="1"/>
  <c r="F633" i="1" s="1"/>
  <c r="E711" i="1"/>
  <c r="E710" i="1" s="1"/>
  <c r="E709" i="1" s="1"/>
  <c r="F728" i="1"/>
  <c r="G758" i="1"/>
  <c r="G754" i="1" s="1"/>
  <c r="G753" i="1" s="1"/>
  <c r="G622" i="1"/>
  <c r="G621" i="1" s="1"/>
  <c r="G609" i="1" s="1"/>
  <c r="G634" i="1"/>
  <c r="G633" i="1" s="1"/>
  <c r="G697" i="1"/>
  <c r="G696" i="1" s="1"/>
  <c r="G695" i="1" s="1"/>
  <c r="G728" i="1"/>
  <c r="E667" i="1"/>
  <c r="E666" i="1" s="1"/>
  <c r="G675" i="1"/>
  <c r="G674" i="1" s="1"/>
  <c r="F711" i="1"/>
  <c r="F710" i="1" s="1"/>
  <c r="F709" i="1" s="1"/>
  <c r="E564" i="1"/>
  <c r="E622" i="1"/>
  <c r="E621" i="1" s="1"/>
  <c r="G667" i="1"/>
  <c r="G666" i="1" s="1"/>
  <c r="F716" i="1"/>
  <c r="G748" i="1"/>
  <c r="G747" i="1" s="1"/>
  <c r="G746" i="1" s="1"/>
  <c r="E646" i="1"/>
  <c r="E645" i="1" s="1"/>
  <c r="G646" i="1"/>
  <c r="G645" i="1" s="1"/>
  <c r="F704" i="1"/>
  <c r="F703" i="1" s="1"/>
  <c r="F702" i="1" s="1"/>
  <c r="G720" i="1"/>
  <c r="G716" i="1" s="1"/>
  <c r="E640" i="1"/>
  <c r="E639" i="1" s="1"/>
  <c r="F733" i="1"/>
  <c r="E483" i="1"/>
  <c r="G439" i="1"/>
  <c r="G438" i="1" s="1"/>
  <c r="F439" i="1"/>
  <c r="F438" i="1" s="1"/>
  <c r="E439" i="1"/>
  <c r="E438" i="1" s="1"/>
  <c r="E119" i="1"/>
  <c r="E237" i="1"/>
  <c r="G92" i="1"/>
  <c r="G91" i="1" s="1"/>
  <c r="F92" i="1"/>
  <c r="F91" i="1" s="1"/>
  <c r="E91" i="1"/>
  <c r="E78" i="1"/>
  <c r="G554" i="1"/>
  <c r="F554" i="1"/>
  <c r="E554" i="1"/>
  <c r="E553" i="1"/>
  <c r="G550" i="1"/>
  <c r="G549" i="1" s="1"/>
  <c r="G548" i="1" s="1"/>
  <c r="F550" i="1"/>
  <c r="F549" i="1" s="1"/>
  <c r="F548" i="1" s="1"/>
  <c r="E549" i="1"/>
  <c r="E548" i="1" s="1"/>
  <c r="E535" i="1"/>
  <c r="G532" i="1"/>
  <c r="G531" i="1" s="1"/>
  <c r="G530" i="1" s="1"/>
  <c r="F532" i="1"/>
  <c r="F531" i="1" s="1"/>
  <c r="F530" i="1" s="1"/>
  <c r="E532" i="1"/>
  <c r="E531" i="1" s="1"/>
  <c r="E530" i="1" s="1"/>
  <c r="G529" i="1"/>
  <c r="G528" i="1" s="1"/>
  <c r="G527" i="1" s="1"/>
  <c r="F529" i="1"/>
  <c r="F528" i="1" s="1"/>
  <c r="F527" i="1" s="1"/>
  <c r="E528" i="1"/>
  <c r="E527" i="1" s="1"/>
  <c r="E526" i="1"/>
  <c r="G524" i="1"/>
  <c r="F524" i="1"/>
  <c r="E524" i="1"/>
  <c r="G521" i="1"/>
  <c r="G520" i="1" s="1"/>
  <c r="G519" i="1" s="1"/>
  <c r="F521" i="1"/>
  <c r="F520" i="1" s="1"/>
  <c r="F519" i="1" s="1"/>
  <c r="E521" i="1"/>
  <c r="E520" i="1" s="1"/>
  <c r="E519" i="1" s="1"/>
  <c r="E517" i="1"/>
  <c r="G514" i="1"/>
  <c r="G513" i="1" s="1"/>
  <c r="G512" i="1" s="1"/>
  <c r="F514" i="1"/>
  <c r="F513" i="1" s="1"/>
  <c r="F512" i="1" s="1"/>
  <c r="E514" i="1"/>
  <c r="E513" i="1" s="1"/>
  <c r="E512" i="1" s="1"/>
  <c r="G511" i="1"/>
  <c r="G510" i="1" s="1"/>
  <c r="G509" i="1" s="1"/>
  <c r="F511" i="1"/>
  <c r="F510" i="1" s="1"/>
  <c r="F509" i="1" s="1"/>
  <c r="E511" i="1"/>
  <c r="E510" i="1" s="1"/>
  <c r="E509" i="1" s="1"/>
  <c r="G508" i="1"/>
  <c r="G507" i="1" s="1"/>
  <c r="G506" i="1" s="1"/>
  <c r="F508" i="1"/>
  <c r="F507" i="1" s="1"/>
  <c r="F506" i="1" s="1"/>
  <c r="E508" i="1"/>
  <c r="E507" i="1" s="1"/>
  <c r="E506" i="1" s="1"/>
  <c r="G502" i="1"/>
  <c r="G501" i="1" s="1"/>
  <c r="G500" i="1" s="1"/>
  <c r="F502" i="1"/>
  <c r="F501" i="1" s="1"/>
  <c r="F500" i="1" s="1"/>
  <c r="E502" i="1"/>
  <c r="E501" i="1" s="1"/>
  <c r="E500" i="1" s="1"/>
  <c r="G499" i="1"/>
  <c r="G498" i="1" s="1"/>
  <c r="G497" i="1" s="1"/>
  <c r="F499" i="1"/>
  <c r="F498" i="1" s="1"/>
  <c r="F497" i="1" s="1"/>
  <c r="E499" i="1"/>
  <c r="E498" i="1" s="1"/>
  <c r="E497" i="1" s="1"/>
  <c r="G496" i="1"/>
  <c r="G495" i="1" s="1"/>
  <c r="G494" i="1" s="1"/>
  <c r="F496" i="1"/>
  <c r="F495" i="1" s="1"/>
  <c r="F494" i="1" s="1"/>
  <c r="E496" i="1"/>
  <c r="E495" i="1" s="1"/>
  <c r="E494" i="1" s="1"/>
  <c r="G493" i="1"/>
  <c r="G492" i="1" s="1"/>
  <c r="F493" i="1"/>
  <c r="F492" i="1" s="1"/>
  <c r="E492" i="1"/>
  <c r="G489" i="1"/>
  <c r="G488" i="1" s="1"/>
  <c r="G487" i="1" s="1"/>
  <c r="F489" i="1"/>
  <c r="F488" i="1" s="1"/>
  <c r="F487" i="1" s="1"/>
  <c r="E489" i="1"/>
  <c r="E488" i="1" s="1"/>
  <c r="E487" i="1" s="1"/>
  <c r="G478" i="1"/>
  <c r="G480" i="1"/>
  <c r="F479" i="1"/>
  <c r="F478" i="1" s="1"/>
  <c r="E478" i="1"/>
  <c r="G476" i="1"/>
  <c r="G475" i="1" s="1"/>
  <c r="G474" i="1" s="1"/>
  <c r="F476" i="1"/>
  <c r="F475" i="1" s="1"/>
  <c r="F474" i="1" s="1"/>
  <c r="E476" i="1"/>
  <c r="E475" i="1" s="1"/>
  <c r="E474" i="1" s="1"/>
  <c r="F465" i="1"/>
  <c r="F464" i="1" s="1"/>
  <c r="F463" i="1" s="1"/>
  <c r="G465" i="1"/>
  <c r="G464" i="1" s="1"/>
  <c r="G463" i="1" s="1"/>
  <c r="E465" i="1"/>
  <c r="E464" i="1" s="1"/>
  <c r="E463" i="1" s="1"/>
  <c r="E462" i="1"/>
  <c r="E436" i="1"/>
  <c r="E423" i="1"/>
  <c r="E387" i="1"/>
  <c r="G377" i="1"/>
  <c r="G376" i="1" s="1"/>
  <c r="F377" i="1"/>
  <c r="F376" i="1" s="1"/>
  <c r="E377" i="1"/>
  <c r="E376" i="1" s="1"/>
  <c r="E375" i="1"/>
  <c r="G372" i="1"/>
  <c r="G371" i="1" s="1"/>
  <c r="F372" i="1"/>
  <c r="F371" i="1" s="1"/>
  <c r="E372" i="1"/>
  <c r="E371" i="1" s="1"/>
  <c r="E370" i="1"/>
  <c r="G360" i="1"/>
  <c r="G359" i="1" s="1"/>
  <c r="G356" i="1" s="1"/>
  <c r="F359" i="1"/>
  <c r="F356" i="1" s="1"/>
  <c r="E359" i="1"/>
  <c r="E356" i="1" s="1"/>
  <c r="E354" i="1"/>
  <c r="G351" i="1"/>
  <c r="G350" i="1" s="1"/>
  <c r="F351" i="1"/>
  <c r="F350" i="1" s="1"/>
  <c r="E351" i="1"/>
  <c r="E350" i="1" s="1"/>
  <c r="E349" i="1"/>
  <c r="G347" i="1"/>
  <c r="G346" i="1" s="1"/>
  <c r="F347" i="1"/>
  <c r="F346" i="1" s="1"/>
  <c r="E347" i="1"/>
  <c r="E346" i="1" s="1"/>
  <c r="E344" i="1"/>
  <c r="G340" i="1"/>
  <c r="G339" i="1" s="1"/>
  <c r="F340" i="1"/>
  <c r="F339" i="1" s="1"/>
  <c r="E340" i="1"/>
  <c r="E339" i="1" s="1"/>
  <c r="E336" i="1"/>
  <c r="G324" i="1"/>
  <c r="G323" i="1" s="1"/>
  <c r="G322" i="1" s="1"/>
  <c r="F324" i="1"/>
  <c r="F323" i="1" s="1"/>
  <c r="F322" i="1" s="1"/>
  <c r="E324" i="1"/>
  <c r="E323" i="1" s="1"/>
  <c r="E322" i="1" s="1"/>
  <c r="G321" i="1"/>
  <c r="G320" i="1" s="1"/>
  <c r="G319" i="1" s="1"/>
  <c r="F321" i="1"/>
  <c r="F320" i="1" s="1"/>
  <c r="F319" i="1" s="1"/>
  <c r="E321" i="1"/>
  <c r="E320" i="1" s="1"/>
  <c r="E319" i="1" s="1"/>
  <c r="E318" i="1"/>
  <c r="G315" i="1"/>
  <c r="F315" i="1"/>
  <c r="E294" i="1"/>
  <c r="E290" i="1"/>
  <c r="E289" i="1" s="1"/>
  <c r="G283" i="1"/>
  <c r="G282" i="1" s="1"/>
  <c r="F283" i="1"/>
  <c r="F282" i="1" s="1"/>
  <c r="G281" i="1"/>
  <c r="G280" i="1" s="1"/>
  <c r="F281" i="1"/>
  <c r="F280" i="1" s="1"/>
  <c r="E281" i="1"/>
  <c r="E280" i="1" s="1"/>
  <c r="G279" i="1"/>
  <c r="F279" i="1"/>
  <c r="G272" i="1"/>
  <c r="G271" i="1" s="1"/>
  <c r="G270" i="1" s="1"/>
  <c r="F272" i="1"/>
  <c r="F271" i="1" s="1"/>
  <c r="F270" i="1" s="1"/>
  <c r="E272" i="1"/>
  <c r="E271" i="1" s="1"/>
  <c r="E270" i="1" s="1"/>
  <c r="G275" i="1"/>
  <c r="E266" i="1"/>
  <c r="G263" i="1"/>
  <c r="G262" i="1" s="1"/>
  <c r="G261" i="1" s="1"/>
  <c r="F263" i="1"/>
  <c r="F262" i="1" s="1"/>
  <c r="F261" i="1" s="1"/>
  <c r="E263" i="1"/>
  <c r="E262" i="1" s="1"/>
  <c r="E261" i="1" s="1"/>
  <c r="E260" i="1"/>
  <c r="G252" i="1"/>
  <c r="F252" i="1"/>
  <c r="F244" i="1"/>
  <c r="G244" i="1"/>
  <c r="E244" i="1"/>
  <c r="G241" i="1"/>
  <c r="G239" i="1" s="1"/>
  <c r="F241" i="1"/>
  <c r="F239" i="1" s="1"/>
  <c r="E241" i="1"/>
  <c r="E239" i="1" s="1"/>
  <c r="G238" i="1"/>
  <c r="G237" i="1" s="1"/>
  <c r="G236" i="1" s="1"/>
  <c r="F238" i="1"/>
  <c r="F237" i="1" s="1"/>
  <c r="F236" i="1" s="1"/>
  <c r="E235" i="1"/>
  <c r="G222" i="1"/>
  <c r="F222" i="1"/>
  <c r="E222" i="1"/>
  <c r="G214" i="1"/>
  <c r="E214" i="1"/>
  <c r="F211" i="1"/>
  <c r="G208" i="1"/>
  <c r="G207" i="1" s="1"/>
  <c r="G206" i="1" s="1"/>
  <c r="F208" i="1"/>
  <c r="F207" i="1" s="1"/>
  <c r="F206" i="1" s="1"/>
  <c r="E207" i="1"/>
  <c r="E206" i="1" s="1"/>
  <c r="G202" i="1"/>
  <c r="G201" i="1" s="1"/>
  <c r="G200" i="1" s="1"/>
  <c r="F202" i="1"/>
  <c r="F201" i="1" s="1"/>
  <c r="F200" i="1" s="1"/>
  <c r="E202" i="1"/>
  <c r="E201" i="1" s="1"/>
  <c r="E200" i="1" s="1"/>
  <c r="G199" i="1"/>
  <c r="G198" i="1" s="1"/>
  <c r="G197" i="1" s="1"/>
  <c r="F199" i="1"/>
  <c r="F198" i="1" s="1"/>
  <c r="F197" i="1" s="1"/>
  <c r="E199" i="1"/>
  <c r="E198" i="1" s="1"/>
  <c r="E197" i="1" s="1"/>
  <c r="G196" i="1"/>
  <c r="G195" i="1" s="1"/>
  <c r="G194" i="1" s="1"/>
  <c r="F196" i="1"/>
  <c r="F195" i="1" s="1"/>
  <c r="F194" i="1" s="1"/>
  <c r="E196" i="1"/>
  <c r="E195" i="1" s="1"/>
  <c r="E194" i="1" s="1"/>
  <c r="G193" i="1"/>
  <c r="G192" i="1" s="1"/>
  <c r="G191" i="1" s="1"/>
  <c r="F193" i="1"/>
  <c r="F192" i="1" s="1"/>
  <c r="F191" i="1" s="1"/>
  <c r="E193" i="1"/>
  <c r="E192" i="1" s="1"/>
  <c r="E191" i="1" s="1"/>
  <c r="G190" i="1"/>
  <c r="G189" i="1" s="1"/>
  <c r="G188" i="1" s="1"/>
  <c r="F190" i="1"/>
  <c r="F189" i="1" s="1"/>
  <c r="F188" i="1" s="1"/>
  <c r="E190" i="1"/>
  <c r="E189" i="1" s="1"/>
  <c r="E188" i="1" s="1"/>
  <c r="G187" i="1"/>
  <c r="G186" i="1" s="1"/>
  <c r="G185" i="1" s="1"/>
  <c r="F187" i="1"/>
  <c r="F186" i="1" s="1"/>
  <c r="F185" i="1" s="1"/>
  <c r="E187" i="1"/>
  <c r="E186" i="1" s="1"/>
  <c r="E185" i="1" s="1"/>
  <c r="G184" i="1"/>
  <c r="E184" i="1"/>
  <c r="E168" i="1"/>
  <c r="G165" i="1"/>
  <c r="F165" i="1"/>
  <c r="G157" i="1"/>
  <c r="G155" i="1"/>
  <c r="G154" i="1" s="1"/>
  <c r="F155" i="1"/>
  <c r="F154" i="1" s="1"/>
  <c r="E154" i="1"/>
  <c r="G152" i="1"/>
  <c r="G151" i="1" s="1"/>
  <c r="G150" i="1" s="1"/>
  <c r="F152" i="1"/>
  <c r="F151" i="1" s="1"/>
  <c r="F150" i="1" s="1"/>
  <c r="E152" i="1"/>
  <c r="E151" i="1" s="1"/>
  <c r="E150" i="1" s="1"/>
  <c r="G149" i="1"/>
  <c r="G148" i="1" s="1"/>
  <c r="G147" i="1" s="1"/>
  <c r="F149" i="1"/>
  <c r="F148" i="1" s="1"/>
  <c r="F147" i="1" s="1"/>
  <c r="E149" i="1"/>
  <c r="E148" i="1" s="1"/>
  <c r="E147" i="1" s="1"/>
  <c r="G146" i="1"/>
  <c r="G145" i="1" s="1"/>
  <c r="G144" i="1" s="1"/>
  <c r="F146" i="1"/>
  <c r="F145" i="1" s="1"/>
  <c r="F144" i="1" s="1"/>
  <c r="E146" i="1"/>
  <c r="E145" i="1" s="1"/>
  <c r="E144" i="1" s="1"/>
  <c r="E141" i="1"/>
  <c r="E138" i="1"/>
  <c r="G127" i="1"/>
  <c r="G126" i="1" s="1"/>
  <c r="F127" i="1"/>
  <c r="F126" i="1" s="1"/>
  <c r="E126" i="1"/>
  <c r="G125" i="1"/>
  <c r="G124" i="1" s="1"/>
  <c r="F125" i="1"/>
  <c r="F124" i="1" s="1"/>
  <c r="E124" i="1"/>
  <c r="E123" i="1"/>
  <c r="G120" i="1"/>
  <c r="G119" i="1" s="1"/>
  <c r="F120" i="1"/>
  <c r="F119" i="1" s="1"/>
  <c r="G109" i="1"/>
  <c r="F109" i="1"/>
  <c r="G110" i="1"/>
  <c r="F110" i="1"/>
  <c r="E106" i="1"/>
  <c r="E101" i="1"/>
  <c r="G90" i="1"/>
  <c r="F90" i="1"/>
  <c r="G89" i="1"/>
  <c r="F89" i="1"/>
  <c r="G58" i="1"/>
  <c r="G57" i="1" s="1"/>
  <c r="G56" i="1" s="1"/>
  <c r="F58" i="1"/>
  <c r="F57" i="1" s="1"/>
  <c r="F56" i="1" s="1"/>
  <c r="E58" i="1"/>
  <c r="E57" i="1" s="1"/>
  <c r="E56" i="1" s="1"/>
  <c r="E55" i="1"/>
  <c r="E53" i="1"/>
  <c r="G47" i="1"/>
  <c r="G46" i="1" s="1"/>
  <c r="F47" i="1"/>
  <c r="F46" i="1" s="1"/>
  <c r="E47" i="1"/>
  <c r="E46" i="1" s="1"/>
  <c r="F45" i="1"/>
  <c r="E45" i="1"/>
  <c r="E44" i="1"/>
  <c r="E28" i="1"/>
  <c r="F82" i="1"/>
  <c r="G85" i="1"/>
  <c r="G84" i="1" s="1"/>
  <c r="G83" i="1" s="1"/>
  <c r="F85" i="1"/>
  <c r="F84" i="1" s="1"/>
  <c r="F83" i="1" s="1"/>
  <c r="E85" i="1"/>
  <c r="E84" i="1" s="1"/>
  <c r="E83" i="1" s="1"/>
  <c r="F184" i="1"/>
  <c r="F480" i="1"/>
  <c r="E480" i="1"/>
  <c r="F447" i="1"/>
  <c r="F446" i="1" s="1"/>
  <c r="F445" i="1" s="1"/>
  <c r="G447" i="1"/>
  <c r="G446" i="1" s="1"/>
  <c r="E447" i="1"/>
  <c r="E446" i="1" s="1"/>
  <c r="E445" i="1" s="1"/>
  <c r="F431" i="1"/>
  <c r="G727" i="1" l="1"/>
  <c r="G726" i="1" s="1"/>
  <c r="G558" i="1" s="1"/>
  <c r="F563" i="1"/>
  <c r="E609" i="1"/>
  <c r="E563" i="1"/>
  <c r="E559" i="1" s="1"/>
  <c r="E558" i="1" s="1"/>
  <c r="F609" i="1"/>
  <c r="F559" i="1"/>
  <c r="F727" i="1"/>
  <c r="F726" i="1" s="1"/>
  <c r="F437" i="1"/>
  <c r="G445" i="1"/>
  <c r="G437" i="1" s="1"/>
  <c r="E552" i="1"/>
  <c r="E491" i="1"/>
  <c r="F491" i="1"/>
  <c r="G491" i="1"/>
  <c r="E437" i="1"/>
  <c r="E313" i="1"/>
  <c r="E282" i="1"/>
  <c r="E277" i="1"/>
  <c r="E251" i="1"/>
  <c r="F108" i="1"/>
  <c r="G108" i="1"/>
  <c r="E108" i="1"/>
  <c r="F87" i="1"/>
  <c r="F86" i="1" s="1"/>
  <c r="G87" i="1"/>
  <c r="G86" i="1" s="1"/>
  <c r="E87" i="1"/>
  <c r="E86" i="1" s="1"/>
  <c r="F410" i="1"/>
  <c r="G410" i="1"/>
  <c r="E410" i="1"/>
  <c r="F414" i="1"/>
  <c r="G414" i="1"/>
  <c r="E414" i="1"/>
  <c r="F417" i="1"/>
  <c r="F416" i="1" s="1"/>
  <c r="G417" i="1"/>
  <c r="G416" i="1" s="1"/>
  <c r="E417" i="1"/>
  <c r="E416" i="1" s="1"/>
  <c r="F407" i="1"/>
  <c r="G407" i="1"/>
  <c r="E407" i="1"/>
  <c r="E404" i="1"/>
  <c r="F404" i="1"/>
  <c r="G404" i="1"/>
  <c r="F398" i="1"/>
  <c r="F397" i="1" s="1"/>
  <c r="G398" i="1"/>
  <c r="G397" i="1" s="1"/>
  <c r="E398" i="1"/>
  <c r="E397" i="1" s="1"/>
  <c r="E396" i="1"/>
  <c r="E393" i="1"/>
  <c r="F390" i="1"/>
  <c r="G390" i="1"/>
  <c r="E390" i="1"/>
  <c r="F343" i="1"/>
  <c r="F342" i="1" s="1"/>
  <c r="G343" i="1"/>
  <c r="G342" i="1" s="1"/>
  <c r="E343" i="1"/>
  <c r="E342" i="1" s="1"/>
  <c r="G338" i="1"/>
  <c r="G336" i="1"/>
  <c r="F336" i="1"/>
  <c r="G334" i="1"/>
  <c r="F334" i="1"/>
  <c r="F558" i="1" l="1"/>
  <c r="E276" i="1"/>
  <c r="G403" i="1"/>
  <c r="E409" i="1"/>
  <c r="E403" i="1"/>
  <c r="F409" i="1"/>
  <c r="F403" i="1"/>
  <c r="G409" i="1"/>
  <c r="E341" i="1"/>
  <c r="G341" i="1"/>
  <c r="F341" i="1"/>
  <c r="G257" i="1"/>
  <c r="F257" i="1"/>
  <c r="G256" i="1"/>
  <c r="F256" i="1"/>
  <c r="G253" i="1"/>
  <c r="F253" i="1"/>
  <c r="G250" i="1"/>
  <c r="F250" i="1"/>
  <c r="G249" i="1"/>
  <c r="F249" i="1"/>
  <c r="F242" i="1"/>
  <c r="G242" i="1"/>
  <c r="E242" i="1"/>
  <c r="E236" i="1" s="1"/>
  <c r="E231" i="1"/>
  <c r="G229" i="1"/>
  <c r="F229" i="1"/>
  <c r="F227" i="1"/>
  <c r="G225" i="1"/>
  <c r="F218" i="1"/>
  <c r="F217" i="1" s="1"/>
  <c r="G218" i="1"/>
  <c r="G217" i="1" s="1"/>
  <c r="E218" i="1"/>
  <c r="E217" i="1" s="1"/>
  <c r="F215" i="1"/>
  <c r="G215" i="1"/>
  <c r="E215" i="1"/>
  <c r="F214" i="1"/>
  <c r="F177" i="1"/>
  <c r="G177" i="1"/>
  <c r="E177" i="1"/>
  <c r="E156" i="1"/>
  <c r="F169" i="1"/>
  <c r="G169" i="1"/>
  <c r="E169" i="1"/>
  <c r="F158" i="1"/>
  <c r="G158" i="1"/>
  <c r="E158" i="1"/>
  <c r="G136" i="1"/>
  <c r="F136" i="1"/>
  <c r="E133" i="1"/>
  <c r="F133" i="1"/>
  <c r="G133" i="1"/>
  <c r="F111" i="1"/>
  <c r="G111" i="1"/>
  <c r="E111" i="1"/>
  <c r="F115" i="1"/>
  <c r="G115" i="1"/>
  <c r="E115" i="1"/>
  <c r="F104" i="1"/>
  <c r="F103" i="1" s="1"/>
  <c r="G104" i="1"/>
  <c r="G103" i="1" s="1"/>
  <c r="E104" i="1"/>
  <c r="E103" i="1" s="1"/>
  <c r="F100" i="1"/>
  <c r="G100" i="1"/>
  <c r="E100" i="1"/>
  <c r="F98" i="1"/>
  <c r="G98" i="1"/>
  <c r="E98" i="1"/>
  <c r="F94" i="1"/>
  <c r="G94" i="1"/>
  <c r="E94" i="1"/>
  <c r="G107" i="1" l="1"/>
  <c r="F107" i="1"/>
  <c r="E107" i="1"/>
  <c r="E402" i="1"/>
  <c r="F402" i="1"/>
  <c r="G402" i="1"/>
  <c r="G381" i="1" l="1"/>
  <c r="G26" i="1"/>
  <c r="G557" i="1" l="1"/>
  <c r="F557" i="1"/>
  <c r="E557" i="1"/>
  <c r="G545" i="1"/>
  <c r="F545" i="1"/>
  <c r="G538" i="1"/>
  <c r="F538" i="1"/>
  <c r="G526" i="1"/>
  <c r="F526" i="1"/>
  <c r="E525" i="1"/>
  <c r="E523" i="1" s="1"/>
  <c r="F504" i="1"/>
  <c r="G504" i="1"/>
  <c r="E504" i="1"/>
  <c r="F517" i="1"/>
  <c r="F484" i="1"/>
  <c r="F472" i="1"/>
  <c r="F469" i="1"/>
  <c r="G462" i="1"/>
  <c r="F451" i="1"/>
  <c r="G451" i="1"/>
  <c r="E451" i="1"/>
  <c r="F396" i="1"/>
  <c r="G393" i="1"/>
  <c r="F393" i="1"/>
  <c r="F381" i="1"/>
  <c r="G366" i="1"/>
  <c r="G354" i="1"/>
  <c r="F354" i="1"/>
  <c r="G349" i="1"/>
  <c r="F349" i="1"/>
  <c r="E333" i="1"/>
  <c r="G318" i="1"/>
  <c r="G317" i="1" s="1"/>
  <c r="G316" i="1" s="1"/>
  <c r="F318" i="1"/>
  <c r="F317" i="1" s="1"/>
  <c r="F316" i="1" s="1"/>
  <c r="E317" i="1"/>
  <c r="E316" i="1" s="1"/>
  <c r="E312" i="1" s="1"/>
  <c r="G314" i="1"/>
  <c r="G313" i="1" s="1"/>
  <c r="F314" i="1"/>
  <c r="F313" i="1" s="1"/>
  <c r="F310" i="1"/>
  <c r="G310" i="1"/>
  <c r="E310" i="1"/>
  <c r="G309" i="1"/>
  <c r="F308" i="1"/>
  <c r="G307" i="1"/>
  <c r="F307" i="1"/>
  <c r="G303" i="1"/>
  <c r="F303" i="1"/>
  <c r="E303" i="1"/>
  <c r="E302" i="1" s="1"/>
  <c r="G298" i="1"/>
  <c r="F298" i="1"/>
  <c r="F293" i="1"/>
  <c r="F292" i="1" s="1"/>
  <c r="G293" i="1"/>
  <c r="G292" i="1" s="1"/>
  <c r="E293" i="1"/>
  <c r="E292" i="1" s="1"/>
  <c r="G278" i="1"/>
  <c r="G277" i="1" s="1"/>
  <c r="G276" i="1" s="1"/>
  <c r="F278" i="1"/>
  <c r="F277" i="1" s="1"/>
  <c r="F276" i="1" s="1"/>
  <c r="F275" i="1"/>
  <c r="E275" i="1"/>
  <c r="G260" i="1"/>
  <c r="F260" i="1"/>
  <c r="G259" i="1"/>
  <c r="F259" i="1"/>
  <c r="E259" i="1"/>
  <c r="G254" i="1"/>
  <c r="G251" i="1" s="1"/>
  <c r="F254" i="1"/>
  <c r="F251" i="1" s="1"/>
  <c r="G235" i="1"/>
  <c r="F235" i="1"/>
  <c r="G231" i="1"/>
  <c r="F231" i="1"/>
  <c r="G228" i="1"/>
  <c r="F228" i="1"/>
  <c r="E228" i="1"/>
  <c r="G227" i="1"/>
  <c r="F204" i="1"/>
  <c r="F203" i="1" s="1"/>
  <c r="G204" i="1"/>
  <c r="G203" i="1" s="1"/>
  <c r="E204" i="1"/>
  <c r="E203" i="1" s="1"/>
  <c r="F175" i="1"/>
  <c r="F174" i="1" s="1"/>
  <c r="G175" i="1"/>
  <c r="G174" i="1" s="1"/>
  <c r="E175" i="1"/>
  <c r="E174" i="1" s="1"/>
  <c r="F172" i="1"/>
  <c r="F171" i="1" s="1"/>
  <c r="G172" i="1"/>
  <c r="G171" i="1" s="1"/>
  <c r="E172" i="1"/>
  <c r="E171" i="1" s="1"/>
  <c r="G135" i="1"/>
  <c r="F135" i="1"/>
  <c r="E130" i="1"/>
  <c r="E80" i="1"/>
  <c r="G81" i="1"/>
  <c r="G82" i="1"/>
  <c r="E77" i="1"/>
  <c r="F77" i="1"/>
  <c r="G77" i="1"/>
  <c r="E75" i="1"/>
  <c r="F75" i="1"/>
  <c r="G75" i="1"/>
  <c r="G39" i="1"/>
  <c r="G36" i="1"/>
  <c r="F36" i="1"/>
  <c r="E36" i="1"/>
  <c r="G312" i="1" l="1"/>
  <c r="F312" i="1"/>
  <c r="G537" i="1"/>
  <c r="G536" i="1" s="1"/>
  <c r="E537" i="1"/>
  <c r="E536" i="1" s="1"/>
  <c r="F537" i="1"/>
  <c r="F536" i="1" s="1"/>
  <c r="E255" i="1"/>
  <c r="G255" i="1"/>
  <c r="F255" i="1"/>
  <c r="G337" i="1" l="1"/>
  <c r="F337" i="1"/>
  <c r="E337" i="1"/>
  <c r="E288" i="1" l="1"/>
  <c r="E79" i="1"/>
  <c r="E74" i="1" s="1"/>
  <c r="F80" i="1"/>
  <c r="F79" i="1" s="1"/>
  <c r="F74" i="1" s="1"/>
  <c r="G80" i="1"/>
  <c r="G79" i="1" s="1"/>
  <c r="G74" i="1" s="1"/>
  <c r="G297" i="1" l="1"/>
  <c r="G296" i="1" s="1"/>
  <c r="F297" i="1"/>
  <c r="F296" i="1" s="1"/>
  <c r="E297" i="1"/>
  <c r="E296" i="1" s="1"/>
  <c r="G556" i="1" l="1"/>
  <c r="G555" i="1" s="1"/>
  <c r="F556" i="1"/>
  <c r="F555" i="1" s="1"/>
  <c r="E556" i="1"/>
  <c r="E555" i="1" s="1"/>
  <c r="G553" i="1"/>
  <c r="F553" i="1"/>
  <c r="E551" i="1"/>
  <c r="G544" i="1"/>
  <c r="G543" i="1" s="1"/>
  <c r="F544" i="1"/>
  <c r="F543" i="1" s="1"/>
  <c r="E544" i="1"/>
  <c r="E543" i="1" s="1"/>
  <c r="G535" i="1"/>
  <c r="G484" i="1"/>
  <c r="G472" i="1"/>
  <c r="F458" i="1"/>
  <c r="G436" i="1"/>
  <c r="F428" i="1"/>
  <c r="G423" i="1"/>
  <c r="F366" i="1"/>
  <c r="G333" i="1"/>
  <c r="F333" i="1"/>
  <c r="G290" i="1"/>
  <c r="G289" i="1" s="1"/>
  <c r="F290" i="1"/>
  <c r="F289" i="1" s="1"/>
  <c r="G266" i="1"/>
  <c r="F266" i="1"/>
  <c r="G234" i="1"/>
  <c r="F234" i="1"/>
  <c r="E234" i="1"/>
  <c r="G224" i="1"/>
  <c r="F224" i="1"/>
  <c r="E224" i="1"/>
  <c r="F288" i="1" l="1"/>
  <c r="F552" i="1"/>
  <c r="F551" i="1" s="1"/>
  <c r="F542" i="1" s="1"/>
  <c r="G552" i="1"/>
  <c r="G551" i="1" s="1"/>
  <c r="G542" i="1" s="1"/>
  <c r="E542" i="1"/>
  <c r="G38" i="1"/>
  <c r="F40" i="1"/>
  <c r="F39" i="1" s="1"/>
  <c r="F38" i="1" s="1"/>
  <c r="E40" i="1"/>
  <c r="E39" i="1" s="1"/>
  <c r="E38" i="1" s="1"/>
  <c r="F34" i="1"/>
  <c r="G34" i="1"/>
  <c r="E34" i="1"/>
  <c r="F17" i="1"/>
  <c r="G17" i="1"/>
  <c r="E17" i="1"/>
  <c r="G517" i="1" l="1"/>
  <c r="E516" i="1"/>
  <c r="E515" i="1" s="1"/>
  <c r="E503" i="1" s="1"/>
  <c r="E482" i="1"/>
  <c r="E477" i="1" s="1"/>
  <c r="E471" i="1"/>
  <c r="E470" i="1" s="1"/>
  <c r="G461" i="1"/>
  <c r="F461" i="1"/>
  <c r="E461" i="1"/>
  <c r="E460" i="1" s="1"/>
  <c r="E459" i="1" s="1"/>
  <c r="E454" i="1"/>
  <c r="E453" i="1" s="1"/>
  <c r="E450" i="1" s="1"/>
  <c r="E435" i="1"/>
  <c r="E432" i="1" s="1"/>
  <c r="E430" i="1"/>
  <c r="E429" i="1" s="1"/>
  <c r="E427" i="1"/>
  <c r="E426" i="1" s="1"/>
  <c r="E374" i="1"/>
  <c r="E373" i="1" s="1"/>
  <c r="E348" i="1"/>
  <c r="E345" i="1" s="1"/>
  <c r="E335" i="1"/>
  <c r="E332" i="1" s="1"/>
  <c r="E329" i="1"/>
  <c r="E328" i="1" s="1"/>
  <c r="E308" i="1"/>
  <c r="E306" i="1"/>
  <c r="G302" i="1"/>
  <c r="F302" i="1"/>
  <c r="E258" i="1"/>
  <c r="E226" i="1"/>
  <c r="E167" i="1"/>
  <c r="E166" i="1" s="1"/>
  <c r="E140" i="1"/>
  <c r="E135" i="1"/>
  <c r="E129" i="1"/>
  <c r="E128" i="1" s="1"/>
  <c r="E122" i="1"/>
  <c r="E118" i="1" s="1"/>
  <c r="G67" i="1"/>
  <c r="G64" i="1" s="1"/>
  <c r="E71" i="1"/>
  <c r="E69" i="1" s="1"/>
  <c r="E137" i="1"/>
  <c r="E142" i="1"/>
  <c r="E164" i="1"/>
  <c r="E163" i="1" s="1"/>
  <c r="E180" i="1"/>
  <c r="E179" i="1" s="1"/>
  <c r="E183" i="1"/>
  <c r="E210" i="1"/>
  <c r="E209" i="1" s="1"/>
  <c r="E213" i="1"/>
  <c r="E212" i="1" s="1"/>
  <c r="E221" i="1"/>
  <c r="E220" i="1" s="1"/>
  <c r="E265" i="1"/>
  <c r="E264" i="1" s="1"/>
  <c r="E274" i="1"/>
  <c r="E273" i="1" s="1"/>
  <c r="E267" i="1" s="1"/>
  <c r="E353" i="1"/>
  <c r="E352" i="1" s="1"/>
  <c r="E366" i="1"/>
  <c r="E365" i="1" s="1"/>
  <c r="E364" i="1" s="1"/>
  <c r="E355" i="1" s="1"/>
  <c r="E369" i="1"/>
  <c r="E380" i="1"/>
  <c r="E379" i="1" s="1"/>
  <c r="E383" i="1"/>
  <c r="E382" i="1" s="1"/>
  <c r="E386" i="1"/>
  <c r="E385" i="1" s="1"/>
  <c r="E392" i="1"/>
  <c r="E389" i="1" s="1"/>
  <c r="E395" i="1"/>
  <c r="E394" i="1" s="1"/>
  <c r="E422" i="1"/>
  <c r="E421" i="1" s="1"/>
  <c r="E420" i="1" s="1"/>
  <c r="E419" i="1" s="1"/>
  <c r="E456" i="1"/>
  <c r="E469" i="1"/>
  <c r="E468" i="1" s="1"/>
  <c r="E467" i="1" s="1"/>
  <c r="E534" i="1"/>
  <c r="E533" i="1" s="1"/>
  <c r="E522" i="1" s="1"/>
  <c r="F67" i="1"/>
  <c r="F64" i="1" s="1"/>
  <c r="E60" i="1"/>
  <c r="E59" i="1" s="1"/>
  <c r="E449" i="1" l="1"/>
  <c r="E466" i="1"/>
  <c r="E331" i="1"/>
  <c r="E518" i="1"/>
  <c r="E490" i="1"/>
  <c r="E473" i="1"/>
  <c r="E368" i="1"/>
  <c r="E367" i="1" s="1"/>
  <c r="E388" i="1"/>
  <c r="E182" i="1"/>
  <c r="E153" i="1" s="1"/>
  <c r="E139" i="1"/>
  <c r="E132" i="1" s="1"/>
  <c r="E301" i="1"/>
  <c r="E295" i="1" s="1"/>
  <c r="E70" i="1"/>
  <c r="E230" i="1"/>
  <c r="E223" i="1" s="1"/>
  <c r="E248" i="1"/>
  <c r="E247" i="1" s="1"/>
  <c r="E233" i="1"/>
  <c r="E232" i="1" s="1"/>
  <c r="E378" i="1"/>
  <c r="E67" i="1"/>
  <c r="E64" i="1" s="1"/>
  <c r="G534" i="1"/>
  <c r="G533" i="1" s="1"/>
  <c r="F534" i="1"/>
  <c r="F533" i="1" s="1"/>
  <c r="G365" i="1"/>
  <c r="G364" i="1" s="1"/>
  <c r="G355" i="1" s="1"/>
  <c r="F365" i="1"/>
  <c r="F364" i="1" s="1"/>
  <c r="F355" i="1" s="1"/>
  <c r="E93" i="1" l="1"/>
  <c r="E246" i="1"/>
  <c r="E131" i="1"/>
  <c r="E63" i="1"/>
  <c r="E117" i="1"/>
  <c r="E425" i="1"/>
  <c r="E424" i="1" s="1"/>
  <c r="E73" i="1" l="1"/>
  <c r="E62" i="1" s="1"/>
  <c r="G483" i="1"/>
  <c r="F483" i="1"/>
  <c r="G469" i="1"/>
  <c r="G468" i="1" s="1"/>
  <c r="G467" i="1" s="1"/>
  <c r="F468" i="1"/>
  <c r="F467" i="1" s="1"/>
  <c r="G265" i="1"/>
  <c r="G264" i="1" s="1"/>
  <c r="F265" i="1"/>
  <c r="F264" i="1" s="1"/>
  <c r="F482" i="1" l="1"/>
  <c r="F477" i="1" s="1"/>
  <c r="F473" i="1" s="1"/>
  <c r="G482" i="1"/>
  <c r="G477" i="1" s="1"/>
  <c r="G473" i="1" s="1"/>
  <c r="G525" i="1"/>
  <c r="F525" i="1"/>
  <c r="F523" i="1" l="1"/>
  <c r="F522" i="1" s="1"/>
  <c r="G523" i="1"/>
  <c r="G522" i="1" s="1"/>
  <c r="G288" i="1"/>
  <c r="G233" i="1"/>
  <c r="G232" i="1" s="1"/>
  <c r="F233" i="1"/>
  <c r="F232" i="1" s="1"/>
  <c r="F71" i="1"/>
  <c r="F69" i="1" s="1"/>
  <c r="G71" i="1"/>
  <c r="G69" i="1" s="1"/>
  <c r="G518" i="1" l="1"/>
  <c r="F518" i="1"/>
  <c r="F70" i="1"/>
  <c r="G70" i="1"/>
  <c r="F329" i="1"/>
  <c r="F328" i="1" s="1"/>
  <c r="G329" i="1"/>
  <c r="G328" i="1" s="1"/>
  <c r="G458" i="1" l="1"/>
  <c r="G392" i="1"/>
  <c r="G389" i="1" s="1"/>
  <c r="F392" i="1"/>
  <c r="F389" i="1" s="1"/>
  <c r="F226" i="1" l="1"/>
  <c r="G226" i="1"/>
  <c r="F457" i="1" l="1"/>
  <c r="G457" i="1"/>
  <c r="F230" i="1"/>
  <c r="G230" i="1"/>
  <c r="G167" i="1"/>
  <c r="G166" i="1" s="1"/>
  <c r="F167" i="1"/>
  <c r="F166" i="1" s="1"/>
  <c r="F137" i="1"/>
  <c r="G137" i="1"/>
  <c r="F122" i="1"/>
  <c r="F118" i="1" s="1"/>
  <c r="G122" i="1"/>
  <c r="G118" i="1" s="1"/>
  <c r="F516" i="1" l="1"/>
  <c r="F515" i="1" s="1"/>
  <c r="F503" i="1" s="1"/>
  <c r="G274" i="1"/>
  <c r="G273" i="1" s="1"/>
  <c r="G267" i="1" s="1"/>
  <c r="F274" i="1"/>
  <c r="F273" i="1" s="1"/>
  <c r="F267" i="1" s="1"/>
  <c r="G140" i="1"/>
  <c r="F140" i="1"/>
  <c r="F490" i="1" l="1"/>
  <c r="E15" i="1"/>
  <c r="E14" i="1" s="1"/>
  <c r="G454" i="1" l="1"/>
  <c r="G453" i="1" s="1"/>
  <c r="G450" i="1" s="1"/>
  <c r="F454" i="1"/>
  <c r="F453" i="1" s="1"/>
  <c r="F450" i="1" s="1"/>
  <c r="G422" i="1"/>
  <c r="G421" i="1" s="1"/>
  <c r="G420" i="1" s="1"/>
  <c r="G419" i="1" s="1"/>
  <c r="F422" i="1"/>
  <c r="F421" i="1" s="1"/>
  <c r="F420" i="1" s="1"/>
  <c r="F419" i="1" s="1"/>
  <c r="G369" i="1"/>
  <c r="F369" i="1"/>
  <c r="G164" i="1"/>
  <c r="G163" i="1" s="1"/>
  <c r="F164" i="1"/>
  <c r="F163" i="1" s="1"/>
  <c r="G156" i="1"/>
  <c r="F156" i="1"/>
  <c r="G21" i="1" l="1"/>
  <c r="F21" i="1"/>
  <c r="F20" i="1" s="1"/>
  <c r="F19" i="1" s="1"/>
  <c r="G471" i="1"/>
  <c r="G470" i="1" s="1"/>
  <c r="G466" i="1" s="1"/>
  <c r="F471" i="1"/>
  <c r="F470" i="1" s="1"/>
  <c r="F466" i="1" s="1"/>
  <c r="F395" i="1"/>
  <c r="F394" i="1" s="1"/>
  <c r="F388" i="1" s="1"/>
  <c r="G395" i="1"/>
  <c r="G394" i="1" s="1"/>
  <c r="G388" i="1" s="1"/>
  <c r="F386" i="1"/>
  <c r="F385" i="1" s="1"/>
  <c r="G386" i="1"/>
  <c r="G385" i="1" s="1"/>
  <c r="F383" i="1"/>
  <c r="F382" i="1" s="1"/>
  <c r="G383" i="1"/>
  <c r="G382" i="1" s="1"/>
  <c r="F380" i="1"/>
  <c r="F379" i="1" s="1"/>
  <c r="G380" i="1"/>
  <c r="G379" i="1" s="1"/>
  <c r="G353" i="1"/>
  <c r="G352" i="1" s="1"/>
  <c r="F353" i="1"/>
  <c r="F352" i="1" s="1"/>
  <c r="G63" i="1"/>
  <c r="F63" i="1"/>
  <c r="G52" i="1"/>
  <c r="F52" i="1"/>
  <c r="E52" i="1"/>
  <c r="G43" i="1"/>
  <c r="G42" i="1" s="1"/>
  <c r="F43" i="1"/>
  <c r="F42" i="1" s="1"/>
  <c r="E43" i="1"/>
  <c r="E42" i="1" s="1"/>
  <c r="G25" i="1"/>
  <c r="F25" i="1"/>
  <c r="E25" i="1"/>
  <c r="F15" i="1"/>
  <c r="F14" i="1" s="1"/>
  <c r="G15" i="1"/>
  <c r="G14" i="1" s="1"/>
  <c r="F12" i="1"/>
  <c r="F11" i="1" s="1"/>
  <c r="G12" i="1"/>
  <c r="G11" i="1" s="1"/>
  <c r="E12" i="1"/>
  <c r="E11" i="1" s="1"/>
  <c r="G20" i="1" l="1"/>
  <c r="G19" i="1" s="1"/>
  <c r="F10" i="1"/>
  <c r="G378" i="1"/>
  <c r="F378" i="1"/>
  <c r="G10" i="1"/>
  <c r="G516" i="1"/>
  <c r="F460" i="1"/>
  <c r="F459" i="1" s="1"/>
  <c r="G460" i="1"/>
  <c r="G459" i="1" s="1"/>
  <c r="F456" i="1"/>
  <c r="F449" i="1" s="1"/>
  <c r="G456" i="1"/>
  <c r="F435" i="1"/>
  <c r="F432" i="1" s="1"/>
  <c r="G435" i="1"/>
  <c r="G432" i="1" s="1"/>
  <c r="F430" i="1"/>
  <c r="F429" i="1" s="1"/>
  <c r="G430" i="1"/>
  <c r="G429" i="1" s="1"/>
  <c r="F427" i="1"/>
  <c r="F426" i="1" s="1"/>
  <c r="G427" i="1"/>
  <c r="G426" i="1" s="1"/>
  <c r="F374" i="1"/>
  <c r="G374" i="1"/>
  <c r="F348" i="1"/>
  <c r="F345" i="1" s="1"/>
  <c r="G348" i="1"/>
  <c r="G345" i="1" s="1"/>
  <c r="F335" i="1"/>
  <c r="F332" i="1" s="1"/>
  <c r="G335" i="1"/>
  <c r="G332" i="1" s="1"/>
  <c r="G308" i="1"/>
  <c r="F306" i="1"/>
  <c r="G306" i="1"/>
  <c r="F258" i="1"/>
  <c r="G258" i="1"/>
  <c r="F248" i="1"/>
  <c r="G248" i="1"/>
  <c r="F223" i="1"/>
  <c r="G223" i="1"/>
  <c r="F221" i="1"/>
  <c r="F220" i="1" s="1"/>
  <c r="G221" i="1"/>
  <c r="G220" i="1" s="1"/>
  <c r="F213" i="1"/>
  <c r="F212" i="1" s="1"/>
  <c r="G213" i="1"/>
  <c r="G212" i="1" s="1"/>
  <c r="F210" i="1"/>
  <c r="F209" i="1" s="1"/>
  <c r="G210" i="1"/>
  <c r="G209" i="1" s="1"/>
  <c r="F183" i="1"/>
  <c r="G183" i="1"/>
  <c r="F180" i="1"/>
  <c r="F179" i="1" s="1"/>
  <c r="G180" i="1"/>
  <c r="G179" i="1" s="1"/>
  <c r="F142" i="1"/>
  <c r="F139" i="1" s="1"/>
  <c r="F132" i="1" s="1"/>
  <c r="G142" i="1"/>
  <c r="G139" i="1" s="1"/>
  <c r="G132" i="1" s="1"/>
  <c r="F129" i="1"/>
  <c r="F128" i="1" s="1"/>
  <c r="G129" i="1"/>
  <c r="G128" i="1" s="1"/>
  <c r="F93" i="1"/>
  <c r="G93" i="1"/>
  <c r="F60" i="1"/>
  <c r="F59" i="1" s="1"/>
  <c r="G60" i="1"/>
  <c r="G59" i="1" s="1"/>
  <c r="F54" i="1"/>
  <c r="F51" i="1" s="1"/>
  <c r="G54" i="1"/>
  <c r="G51" i="1" s="1"/>
  <c r="E54" i="1"/>
  <c r="E51" i="1" s="1"/>
  <c r="F49" i="1"/>
  <c r="F48" i="1" s="1"/>
  <c r="G49" i="1"/>
  <c r="G48" i="1" s="1"/>
  <c r="E49" i="1"/>
  <c r="E48" i="1" s="1"/>
  <c r="F32" i="1"/>
  <c r="F31" i="1" s="1"/>
  <c r="G32" i="1"/>
  <c r="G31" i="1" s="1"/>
  <c r="E32" i="1"/>
  <c r="E31" i="1" s="1"/>
  <c r="F29" i="1"/>
  <c r="G29" i="1"/>
  <c r="E29" i="1"/>
  <c r="F27" i="1"/>
  <c r="G27" i="1"/>
  <c r="E27" i="1"/>
  <c r="E21" i="1"/>
  <c r="E20" i="1" s="1"/>
  <c r="E10" i="1"/>
  <c r="F331" i="1" l="1"/>
  <c r="F301" i="1"/>
  <c r="F295" i="1" s="1"/>
  <c r="G301" i="1"/>
  <c r="G295" i="1" s="1"/>
  <c r="G331" i="1"/>
  <c r="G247" i="1"/>
  <c r="G246" i="1" s="1"/>
  <c r="G373" i="1"/>
  <c r="G368" i="1" s="1"/>
  <c r="G367" i="1" s="1"/>
  <c r="F373" i="1"/>
  <c r="F368" i="1" s="1"/>
  <c r="F367" i="1" s="1"/>
  <c r="F247" i="1"/>
  <c r="F246" i="1" s="1"/>
  <c r="E41" i="1"/>
  <c r="G41" i="1"/>
  <c r="F41" i="1"/>
  <c r="G182" i="1"/>
  <c r="G153" i="1" s="1"/>
  <c r="F182" i="1"/>
  <c r="F153" i="1" s="1"/>
  <c r="G515" i="1"/>
  <c r="G503" i="1" s="1"/>
  <c r="G73" i="1"/>
  <c r="F73" i="1"/>
  <c r="G449" i="1"/>
  <c r="F425" i="1"/>
  <c r="F424" i="1" s="1"/>
  <c r="G425" i="1"/>
  <c r="G424" i="1" s="1"/>
  <c r="F24" i="1"/>
  <c r="F23" i="1" s="1"/>
  <c r="E24" i="1"/>
  <c r="E23" i="1" s="1"/>
  <c r="G24" i="1"/>
  <c r="G23" i="1" s="1"/>
  <c r="F117" i="1"/>
  <c r="E19" i="1"/>
  <c r="G117" i="1"/>
  <c r="G490" i="1" l="1"/>
  <c r="E9" i="1"/>
  <c r="E767" i="1" s="1"/>
  <c r="F131" i="1"/>
  <c r="G131" i="1"/>
  <c r="G62" i="1" l="1"/>
  <c r="G9" i="1" s="1"/>
  <c r="G767" i="1" s="1"/>
  <c r="F62" i="1"/>
  <c r="F9" i="1" s="1"/>
  <c r="F76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MATVEEVAEN</author>
  </authors>
  <commentList>
    <comment ref="E159" authorId="0" shapeId="0" xr:uid="{D422B91C-BCF2-41D4-A69C-99A400529C28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+0,1
</t>
        </r>
      </text>
    </comment>
    <comment ref="E211" authorId="0" shapeId="0" xr:uid="{51C1B267-B626-47E0-9F64-FE51935601D5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можно сделать -0,1
</t>
        </r>
      </text>
    </comment>
    <comment ref="F225" authorId="0" shapeId="0" xr:uid="{F5B36E1F-836A-42A1-9638-7784D9E6A474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-0,1</t>
        </r>
      </text>
    </comment>
    <comment ref="E227" authorId="0" shapeId="0" xr:uid="{CF656856-B516-485A-AB3F-77E978E55658}">
      <text>
        <r>
          <rPr>
            <b/>
            <sz val="9"/>
            <color indexed="81"/>
            <rFont val="Tahoma"/>
            <family val="2"/>
            <charset val="204"/>
          </rPr>
          <t>MATVEEVAEN:</t>
        </r>
        <r>
          <rPr>
            <sz val="9"/>
            <color indexed="81"/>
            <rFont val="Tahoma"/>
            <family val="2"/>
            <charset val="204"/>
          </rPr>
          <t xml:space="preserve">
+0,1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Matveeva</author>
  </authors>
  <commentList>
    <comment ref="A2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04"/>
          </rPr>
          <t>Matveeva:</t>
        </r>
        <r>
          <rPr>
            <sz val="9"/>
            <color indexed="81"/>
            <rFont val="Tahoma"/>
            <family val="2"/>
            <charset val="204"/>
          </rPr>
          <t xml:space="preserve">
34,0 добавили рябину на админ озелен 1182000</t>
        </r>
      </text>
    </comment>
  </commentList>
</comments>
</file>

<file path=xl/sharedStrings.xml><?xml version="1.0" encoding="utf-8"?>
<sst xmlns="http://schemas.openxmlformats.org/spreadsheetml/2006/main" count="2357" uniqueCount="551">
  <si>
    <t>200</t>
  </si>
  <si>
    <t>800</t>
  </si>
  <si>
    <t>300</t>
  </si>
  <si>
    <t>600</t>
  </si>
  <si>
    <t>100</t>
  </si>
  <si>
    <t>тыс. руб.</t>
  </si>
  <si>
    <t>КЦСР</t>
  </si>
  <si>
    <t>КВР</t>
  </si>
  <si>
    <t>400</t>
  </si>
  <si>
    <t>Муниципальная программа «Развитие образования города Черемхово»</t>
  </si>
  <si>
    <t>Подпрограмма «Безопасность муниципальных образовательных организаций и охрана труда»</t>
  </si>
  <si>
    <t>Подпрограмма «Общее и дополнительное образование»</t>
  </si>
  <si>
    <t>Муниципальная программа «Организация и обеспечение отдыха и оздоровления детей и подростков на территории города Черемхово»</t>
  </si>
  <si>
    <t>Муниципальная программа «Развитие культуры города Черемхово»</t>
  </si>
  <si>
    <t>Муниципальная программа «Развитие сети автомобильных дорог общего пользования местного значения в городе Черемхово»</t>
  </si>
  <si>
    <t>Муниципальная программа «Молодежь города Черемхово»</t>
  </si>
  <si>
    <t>Муниципальная программа «Развитие детского спорта города Черемхово»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</si>
  <si>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</si>
  <si>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</si>
  <si>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Подпрограмма «Одаренные дети»</t>
  </si>
  <si>
    <t>Организация досуга и обеспечение жителей города Черемхово услугами учреждений культуры</t>
  </si>
  <si>
    <t>Улучшение технического состояния учреждений культуры</t>
  </si>
  <si>
    <t>Развитие массового спорта и реализация физкультурно-спортивного комплекса ГТО</t>
  </si>
  <si>
    <t>Реализация системы подготовки спортсменов высокого уровня</t>
  </si>
  <si>
    <t>Качественное развитие потенциала и воспитания молодежи</t>
  </si>
  <si>
    <t>Содержание улично-дорожной сети общего пользования местного значения и сооружений на них, в том числе автомобильных дорог общего пользования местного значения и сооружений на них, относящихся к муниципальной собственности</t>
  </si>
  <si>
    <t>Обеспечение бесплатным питьевым молоком учащихся 1 – 4 классов муниципальных образовательных организаций</t>
  </si>
  <si>
    <t>Создание единого культурного пространства на территории города Черемхово</t>
  </si>
  <si>
    <t>Итого</t>
  </si>
  <si>
    <t>Муниципальные программы</t>
  </si>
  <si>
    <t>1000000000</t>
  </si>
  <si>
    <t>Муниципальная программа «Безопасность жизнедеятельности населения и организация мобилизационной подготовки в городе Черемхово»</t>
  </si>
  <si>
    <t>1040000000</t>
  </si>
  <si>
    <t>1050000000</t>
  </si>
  <si>
    <t>1052000000</t>
  </si>
  <si>
    <t>0702</t>
  </si>
  <si>
    <t>1052100000</t>
  </si>
  <si>
    <t>0701</t>
  </si>
  <si>
    <t>0703</t>
  </si>
  <si>
    <t>1052300000</t>
  </si>
  <si>
    <t>0709</t>
  </si>
  <si>
    <t>1052400000</t>
  </si>
  <si>
    <t>Подпрограмма «Кадровая политика в сфере образования»</t>
  </si>
  <si>
    <t>1053000000</t>
  </si>
  <si>
    <t>1053100000</t>
  </si>
  <si>
    <t>1053200000</t>
  </si>
  <si>
    <t>1006</t>
  </si>
  <si>
    <t>1054000000</t>
  </si>
  <si>
    <t>1054100000</t>
  </si>
  <si>
    <t>1054200000</t>
  </si>
  <si>
    <t>1054273190</t>
  </si>
  <si>
    <t>1004</t>
  </si>
  <si>
    <t>10542L3041</t>
  </si>
  <si>
    <t>10542S2957</t>
  </si>
  <si>
    <t>Организация бесплатного питания обучающихся с ограниченными возможностями здоровья</t>
  </si>
  <si>
    <t>10542S2976</t>
  </si>
  <si>
    <t>1054300000</t>
  </si>
  <si>
    <t>1055000000</t>
  </si>
  <si>
    <t>1055200000</t>
  </si>
  <si>
    <t>1060000000</t>
  </si>
  <si>
    <t>1060100000</t>
  </si>
  <si>
    <t>0801</t>
  </si>
  <si>
    <t>0804</t>
  </si>
  <si>
    <t>Сохранение культурного и исторического наследия народов, проживающих на территории города Черемхово</t>
  </si>
  <si>
    <t>1060200000</t>
  </si>
  <si>
    <t>1060300000</t>
  </si>
  <si>
    <t>1060400000</t>
  </si>
  <si>
    <t>Муниципальная программа «Развитие физической культуры и спорта в городе Черемхово»</t>
  </si>
  <si>
    <t>1070000000</t>
  </si>
  <si>
    <t>1070100000</t>
  </si>
  <si>
    <t>1101</t>
  </si>
  <si>
    <t>1070200000</t>
  </si>
  <si>
    <t>1070300000</t>
  </si>
  <si>
    <t>0707</t>
  </si>
  <si>
    <t>1070500000</t>
  </si>
  <si>
    <t>1080000000</t>
  </si>
  <si>
    <t>1080100000</t>
  </si>
  <si>
    <t>1080200000</t>
  </si>
  <si>
    <t>1080300000</t>
  </si>
  <si>
    <t>1090000000</t>
  </si>
  <si>
    <t>1100000000</t>
  </si>
  <si>
    <t>Организация качественного, доступного отдыха и оздоровления детей в лагерях дневного пребывания</t>
  </si>
  <si>
    <t>1100200000</t>
  </si>
  <si>
    <t>11002S2080</t>
  </si>
  <si>
    <t>1120000000</t>
  </si>
  <si>
    <t>Развитие условий для социальной адаптации, реабилитации и интеграции инвалидов и маломобильных групп населения в образовательную среду</t>
  </si>
  <si>
    <t>1120200000</t>
  </si>
  <si>
    <t>0409</t>
  </si>
  <si>
    <t>1150000000</t>
  </si>
  <si>
    <t>115F300000</t>
  </si>
  <si>
    <t>115F367483</t>
  </si>
  <si>
    <t>0501</t>
  </si>
  <si>
    <t>115F36748S</t>
  </si>
  <si>
    <t>0113</t>
  </si>
  <si>
    <t>1170000000</t>
  </si>
  <si>
    <t>1170200000</t>
  </si>
  <si>
    <t>0503</t>
  </si>
  <si>
    <t>0605</t>
  </si>
  <si>
    <t>1210000000</t>
  </si>
  <si>
    <t>0502</t>
  </si>
  <si>
    <t>Муниципальная программа «Формирование современной городской среды в городе Черемхово»</t>
  </si>
  <si>
    <t>1220000000</t>
  </si>
  <si>
    <t>Повышение уровня благоустройства общественных территорий</t>
  </si>
  <si>
    <t>1220200000</t>
  </si>
  <si>
    <t>122F255551</t>
  </si>
  <si>
    <t xml:space="preserve">Наименование </t>
  </si>
  <si>
    <t>Муниципальная программа «Поддержка и развитие малого и среднего предпринимательства в городе Черемхово»</t>
  </si>
  <si>
    <t>1010000000</t>
  </si>
  <si>
    <t>Содействие развитию малого и среднего предпринимательства в приоритетных для города Черемхово направлениях деятельности</t>
  </si>
  <si>
    <t>1010200000</t>
  </si>
  <si>
    <t>0412</t>
  </si>
  <si>
    <t>Формирование положительного общественного мнения о малом и среднем предпринимательстве</t>
  </si>
  <si>
    <t>1010300000</t>
  </si>
  <si>
    <t>1020000000</t>
  </si>
  <si>
    <t>1020200000</t>
  </si>
  <si>
    <t>1030000000</t>
  </si>
  <si>
    <t>1030100000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</si>
  <si>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</si>
  <si>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</si>
  <si>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</si>
  <si>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Стимулирование и поддержка реализации социально значимых проектов и программ социально ориентированных некоммерческих организаций</t>
  </si>
  <si>
    <t>1030200000</t>
  </si>
  <si>
    <t>Обеспечение мероприятий по гражданской обороне и защите населения и территории от чрезвычайных ситуаций природного и техногенного характера</t>
  </si>
  <si>
    <t>1040100000</t>
  </si>
  <si>
    <t>0111</t>
  </si>
  <si>
    <t>Обеспечение первичных мер пожарной безопасности и безопасности на водных объектах в городе Черемхово</t>
  </si>
  <si>
    <t>1040200000</t>
  </si>
  <si>
    <t>Обеспечение мероприятий по профилактике правонарушений и охране общественного порядка в городе Черемхово</t>
  </si>
  <si>
    <t>1040300000</t>
  </si>
  <si>
    <t>Обеспечение мероприятий по мобилизационной подготовке экономики в городе Черемхово</t>
  </si>
  <si>
    <t>1040500000</t>
  </si>
  <si>
    <t>0204</t>
  </si>
  <si>
    <t>Подпрограмма «Развитие образовательной сети города Черемхово»</t>
  </si>
  <si>
    <t>1051000000</t>
  </si>
  <si>
    <t>1051100000</t>
  </si>
  <si>
    <t>Муниципальная программа «Оказание материальной помощи гражданам, находящимся в трудной жизненной ситуации»</t>
  </si>
  <si>
    <t>1110000000</t>
  </si>
  <si>
    <t>Оказание социальной поддержки гражданам, находящимся в трудной жизненной ситуации, в виде выплаты единовременной материальной помощи</t>
  </si>
  <si>
    <t>1110100000</t>
  </si>
  <si>
    <t>Оказание социальной поддержки гражданам без определенного места жительства</t>
  </si>
  <si>
    <t>1110200000</t>
  </si>
  <si>
    <t>Оказание социальной поддержки гражданам, нуждающимся в безвозмездном предоставлении твердого топлива (угля) и его подвозе</t>
  </si>
  <si>
    <t>1110300000</t>
  </si>
  <si>
    <t>Субсидии из областного бюджета в целях софинансирования расходных обязательств муниципальных образований Иркутской области по переселению граждан из аварийного жилищного фонда Иркутской области,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 на территории Иркутской области</t>
  </si>
  <si>
    <t>115F367484</t>
  </si>
  <si>
    <t>1170100000</t>
  </si>
  <si>
    <t>Муниципальная программа «Градостроительство в муниципальном образовании «город Черемхово»</t>
  </si>
  <si>
    <t>1190000000</t>
  </si>
  <si>
    <t>Обеспечение градостроительного планирования актуальной градостроительной документацией</t>
  </si>
  <si>
    <t>1190100000</t>
  </si>
  <si>
    <t>Другие вопросы в области национальной экономики</t>
  </si>
  <si>
    <t>Другие общегосударственные вопросы</t>
  </si>
  <si>
    <t>Иные бюджетные ассигнования</t>
  </si>
  <si>
    <t>Резервные фонды</t>
  </si>
  <si>
    <t>Мобилизационная подготовка экономики</t>
  </si>
  <si>
    <t>Дошкольное образование</t>
  </si>
  <si>
    <t>Общее образование</t>
  </si>
  <si>
    <t>Капитальные вложения в объекты государственной (муниципальной) собственности</t>
  </si>
  <si>
    <t>Предоставление субсидий бюджетным, автономным учреждениям и иным некоммерческим организациям</t>
  </si>
  <si>
    <t>Дополнительное образование детей</t>
  </si>
  <si>
    <t>Другие вопросы в области образования</t>
  </si>
  <si>
    <t>Другие вопросы в области социальной политики</t>
  </si>
  <si>
    <t>Охрана семьи и детства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</si>
  <si>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</t>
  </si>
  <si>
    <t>Культура</t>
  </si>
  <si>
    <t>Другие вопросы в области культуры, кинематографии</t>
  </si>
  <si>
    <t>Физическая культура</t>
  </si>
  <si>
    <t>Молодежная политика</t>
  </si>
  <si>
    <t>Жилищное хозяйство</t>
  </si>
  <si>
    <t>Дорожное хозяйство (дорожные фонды)</t>
  </si>
  <si>
    <t>Благоустройство</t>
  </si>
  <si>
    <t>Другие вопросы в области охраны окружающей среды</t>
  </si>
  <si>
    <t>Коммунальное хозяйство</t>
  </si>
  <si>
    <t>1200000000</t>
  </si>
  <si>
    <t>1200200000</t>
  </si>
  <si>
    <t>Муниципальная программа «Повышение безопасности дорожного движения в городе Черемхово»</t>
  </si>
  <si>
    <t>Предупреждение опасного поведения участников дорожного движения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</si>
  <si>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</si>
  <si>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</si>
  <si>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</si>
  <si>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</si>
  <si>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Центральный аппарат</t>
  </si>
  <si>
    <t>0020400000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</si>
  <si>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</si>
  <si>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</si>
  <si>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</si>
  <si>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</si>
  <si>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</si>
  <si>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</si>
  <si>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вопросы в области физической культуры и спорта</t>
  </si>
  <si>
    <t>1105</t>
  </si>
  <si>
    <t>Руководитель контрольно-счетной палаты муниципального образования и его заместители</t>
  </si>
  <si>
    <t>0022501000</t>
  </si>
  <si>
    <t>Обеспечение деятельности подведомственных учреждений</t>
  </si>
  <si>
    <t>0029900000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</si>
  <si>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</si>
  <si>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0900000000</t>
  </si>
  <si>
    <t>Оценка недвижимости, признание прав и регулирование отношений по государственной и муниципальной собственности</t>
  </si>
  <si>
    <t>0900200000</t>
  </si>
  <si>
    <t>Реализация государственных функций, связанных с общегосударственным управлением</t>
  </si>
  <si>
    <t>0920000000</t>
  </si>
  <si>
    <t>Выполнение других обязательств государства</t>
  </si>
  <si>
    <t>0920300000</t>
  </si>
  <si>
    <t>Учреждения по обеспечению хозяйственного обслуживания</t>
  </si>
  <si>
    <t>0930000000</t>
  </si>
  <si>
    <t>0939900000</t>
  </si>
  <si>
    <t>Автомобильный транспорт</t>
  </si>
  <si>
    <t>3030000000</t>
  </si>
  <si>
    <t>Отдельные мероприятия в области автомобильного транспорта</t>
  </si>
  <si>
    <t>3030200000</t>
  </si>
  <si>
    <t>Транспорт</t>
  </si>
  <si>
    <t>0408</t>
  </si>
  <si>
    <t>Реализация государственных функций в области национальной экономики</t>
  </si>
  <si>
    <t>3400000000</t>
  </si>
  <si>
    <t>3409900000</t>
  </si>
  <si>
    <t>Поддержка жилищного хозяйства</t>
  </si>
  <si>
    <t>3600000000</t>
  </si>
  <si>
    <t>Мероприятия в области жилищного хозяйства</t>
  </si>
  <si>
    <t>3600300000</t>
  </si>
  <si>
    <t>Поддержка коммунального хозяйства</t>
  </si>
  <si>
    <t>3610000000</t>
  </si>
  <si>
    <t>Мероприятия в области коммунального хозяйства</t>
  </si>
  <si>
    <t>3610500000</t>
  </si>
  <si>
    <t>Мероприятия по переподготовке и повышению квалификации</t>
  </si>
  <si>
    <t>4340000000</t>
  </si>
  <si>
    <t>4340500000</t>
  </si>
  <si>
    <t>Профессиональная подготовка, переподготовка и повышение квалификации</t>
  </si>
  <si>
    <t>0705</t>
  </si>
  <si>
    <t>Учреждения культуры и мероприятия в сфере культуры и кинематографии</t>
  </si>
  <si>
    <t>4400000000</t>
  </si>
  <si>
    <t>4409900000</t>
  </si>
  <si>
    <t>Телерадиокомпании и телеорганизации</t>
  </si>
  <si>
    <t>4530000000</t>
  </si>
  <si>
    <t>4539900000</t>
  </si>
  <si>
    <t>Телевидение и радиовещание</t>
  </si>
  <si>
    <t>1201</t>
  </si>
  <si>
    <t>Центры спортивной подготовки</t>
  </si>
  <si>
    <t>4820000000</t>
  </si>
  <si>
    <t>48200S2370</t>
  </si>
  <si>
    <t>Доплаты к пенсиям, дополнительное пенсионное обеспечение</t>
  </si>
  <si>
    <t>4910000000</t>
  </si>
  <si>
    <t>4910100000</t>
  </si>
  <si>
    <t>Пенсионное обеспечение</t>
  </si>
  <si>
    <t>1001</t>
  </si>
  <si>
    <t>Социальное обеспечение населения</t>
  </si>
  <si>
    <t>1003</t>
  </si>
  <si>
    <t>Реализация государственных функций в области социальной политики</t>
  </si>
  <si>
    <t>5140000000</t>
  </si>
  <si>
    <t>Мероприятия в области социальной политики</t>
  </si>
  <si>
    <t>5140100000</t>
  </si>
  <si>
    <t>Государственная программа Иркутской области «Развитие культуры»</t>
  </si>
  <si>
    <t>5500000000</t>
  </si>
  <si>
    <t>Государственная программа Иркутской области «Труд и занятость»</t>
  </si>
  <si>
    <t>5700000000</t>
  </si>
  <si>
    <t>Прочие мероприятия по благоустройству городских округов</t>
  </si>
  <si>
    <t>6000500000</t>
  </si>
  <si>
    <t>Государственная программа Иркутской области «Развитие жилищно-коммунального хозяйства и повышение энергоэффективности Иркутской области»</t>
  </si>
  <si>
    <t>6100000000</t>
  </si>
  <si>
    <t>Общеэкономические вопросы</t>
  </si>
  <si>
    <t>0401</t>
  </si>
  <si>
    <t>Уличное освещение города</t>
  </si>
  <si>
    <t>6111100000</t>
  </si>
  <si>
    <t>Государственная программа Иркутской области «Развитие сельского хозяйства и регулирование рынков сельскохозяйственной продукции, сырья и продовольствия»</t>
  </si>
  <si>
    <t>6800000000</t>
  </si>
  <si>
    <t>Судебная система</t>
  </si>
  <si>
    <t>0105</t>
  </si>
  <si>
    <t>Непрограммные расходы</t>
  </si>
  <si>
    <t>9000000000</t>
  </si>
  <si>
    <t xml:space="preserve">Обеспечение реализации полномочий министерства юстиции Иркутской области </t>
  </si>
  <si>
    <t>1</t>
  </si>
  <si>
    <t>2</t>
  </si>
  <si>
    <t>3</t>
  </si>
  <si>
    <t>4</t>
  </si>
  <si>
    <t>5</t>
  </si>
  <si>
    <t>6</t>
  </si>
  <si>
    <t>7</t>
  </si>
  <si>
    <t>Выплата ежемесячной пенсии за выслугу лет гражданам, замещавшим должности муниципальной службы</t>
  </si>
  <si>
    <t>1054253031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</si>
  <si>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Иркутской области</t>
  </si>
  <si>
    <t>1054273050</t>
  </si>
  <si>
    <t>1054273180</t>
  </si>
  <si>
    <t>1140100000</t>
  </si>
  <si>
    <t>11401L4970</t>
  </si>
  <si>
    <t>Оказание финансовой поддержки молодым семьям в решении жилищной проблемы путем консолидации бюджетных и внебюджетных источников финансирования</t>
  </si>
  <si>
    <t>90A0100000</t>
  </si>
  <si>
    <t>Муниципальная программа «Модернизация объектов теплоснабжения в городе Черемхово»</t>
  </si>
  <si>
    <t>117R153931</t>
  </si>
  <si>
    <t>Муниципальная адресная программа «Переселение граждан из аварийного жилищного фонда города Черемхово»</t>
  </si>
  <si>
    <t xml:space="preserve"> 2024 год</t>
  </si>
  <si>
    <t>Патриотическое воспитание и допризывная подготовка молодежи, формирование навыков безопасной
жизнедеятельности, толерантности и профилактика экстремистских проявлений в молодежной среде</t>
  </si>
  <si>
    <t>Комплексные меры противодействия незаконному потреблению наркотических средств, психотропных веществ и их обороту, профилактика социально-негативных явлений</t>
  </si>
  <si>
    <t>Приложение № 5</t>
  </si>
  <si>
    <t>1051200000</t>
  </si>
  <si>
    <t>Обеспечение государственных гарантий доступности и качества дошкольного образования населению города Черемхово</t>
  </si>
  <si>
    <t>1054173010</t>
  </si>
  <si>
    <t>1054273020</t>
  </si>
  <si>
    <t>Финансирование мероприятий перечня проектов народных инициатив</t>
  </si>
  <si>
    <t>Муниципальная программа «Улучшение условий и охраны труда в городе Черемхово»</t>
  </si>
  <si>
    <t>Муниципальная программа «Развитие городского сообщества»</t>
  </si>
  <si>
    <t>Муниципальная программа «Доступная среда»</t>
  </si>
  <si>
    <t>0310</t>
  </si>
  <si>
    <t>10523S2949</t>
  </si>
  <si>
    <t>Реализация мероприятий по соблюдению требований к антитеррористической защищенности объектов муниципальных образовательных организаций</t>
  </si>
  <si>
    <t>1120100000</t>
  </si>
  <si>
    <t>Поэтапное повышение значений показателей доступности предоставляемых инвалидам и маломобильных групп населения услуг с учётом имеющихся у них нарушений функций организма, а также оказание им помощи в преодолении барьеров, препятствующих пользованию объектами и услугами в приоритетных сферах жизнедеятельности</t>
  </si>
  <si>
    <t>1210200000</t>
  </si>
  <si>
    <t>Подготовка к отопительному сезону объектов коммунальной инфраструктуры города Черемхово</t>
  </si>
  <si>
    <t>Организация отдыха детей в каникулярное время на оплату стоимости набора продуктов питания в лагерях с дневным пребыванием</t>
  </si>
  <si>
    <t>Переселение граждан из аварийного жилищного фонда города Черемхово, включенного в Перечень многоквартирных домов, признанных в установленном порядке до 1 января 2017 года аварийными и подлежащими сносу или реконструкции в связи с физическим износом в процессе их эксплуатации</t>
  </si>
  <si>
    <t>Переселение граждан из аварийного жилищного фонда города Черемхово</t>
  </si>
  <si>
    <t>Обеспечение жильем молодых семей</t>
  </si>
  <si>
    <t>Дорожная деятельность в рамках реализации национального проекта «Безопасные и качественные автомобильные дороги»</t>
  </si>
  <si>
    <t>Мероприятия по модернизации библиотек в части комплектования книжных фондов библиотек муниципальных образований</t>
  </si>
  <si>
    <t>10602L519A</t>
  </si>
  <si>
    <t>10604S2120</t>
  </si>
  <si>
    <t>Мероприятия по капитальному ремонту объектов муниципальной собственности в сфере культуры</t>
  </si>
  <si>
    <t>1230000000</t>
  </si>
  <si>
    <t>Муниципальная программа «Охрана окружающей среды на территории города Черемхово»</t>
  </si>
  <si>
    <t>1230300000</t>
  </si>
  <si>
    <t>Предотвращение вредного воздействия отходов производства и потребления на здоровье человека и окружающую среду</t>
  </si>
  <si>
    <t>1230400000</t>
  </si>
  <si>
    <t>Организация комфортных условий для отдыха населения и улучшение внешнего облика города</t>
  </si>
  <si>
    <t>1200100000</t>
  </si>
  <si>
    <t>Сокращение детского дорожно-транспортного травматизма</t>
  </si>
  <si>
    <t>12102S2200</t>
  </si>
  <si>
    <t>Реализация первоочередных мероприятий подготовке к отопительному сезону объектов коммунальной инфраструктуры, находящихся в муниципальной собственности</t>
  </si>
  <si>
    <t xml:space="preserve">Организация бесплатного питания обучающихся, получающих начальное общее образование в муниципальных образовательных организациях </t>
  </si>
  <si>
    <t>Развитие материально-технической базы и оснащение необходимым спортивным оборудованием, инвентарем для занятий физической культурой и спортом, проведения спортивных мероприятий и цифровая трансформация физической культуры и спорта</t>
  </si>
  <si>
    <t>Обеспечение выполнения муниципального задания в сфере физической культуры и спорта</t>
  </si>
  <si>
    <t>1090400000</t>
  </si>
  <si>
    <t>Подготовка спортивного резерва</t>
  </si>
  <si>
    <t>Проектирование, прохождение государственной экспертизы, авторский надзор, строительство (реконструкция), текущий и капитальный ремонт, ремонт улично-дорожной сети общего пользования местного значения и сооружений на них, в том числе автомобильных дорог общего пользования местного значения и сооружений на них, проведение инструментальной диагностики технического состояния автомобильных дорог, топографическая съемка автомобильных дорог</t>
  </si>
  <si>
    <t>12303S2971</t>
  </si>
  <si>
    <t>Создание мест (площадок) накопления твердых коммунальных отходов</t>
  </si>
  <si>
    <t xml:space="preserve"> 2025 год</t>
  </si>
  <si>
    <t>1030300000</t>
  </si>
  <si>
    <t>Обеспечение деятельности Общественного совета при администрации города Черемхово как субъекта общественного контроля</t>
  </si>
  <si>
    <t>1240000000</t>
  </si>
  <si>
    <t>1240100000</t>
  </si>
  <si>
    <t>Реализация мероприятий по межкультурной коммуникации городских национальных объединений</t>
  </si>
  <si>
    <t>1240300000</t>
  </si>
  <si>
    <t>Проведение патриотических акций с участием городских национальных объединений, приуроченных к государственным праздникам</t>
  </si>
  <si>
    <t>1240400000</t>
  </si>
  <si>
    <t>Разработка и проведение межведомственных мероприятий по противодействию (предотвращению) разжигания межнациональной и межрелигиозной розни</t>
  </si>
  <si>
    <t>0021200000</t>
  </si>
  <si>
    <t>0039900000</t>
  </si>
  <si>
    <t>0030000000</t>
  </si>
  <si>
    <t>Обеспечение безопасности в чрезвычайных ситуациях</t>
  </si>
  <si>
    <t>Обеспечение деятельности подведомственных учреждений по обеспечению безопасности в чрезвычайных ситуациях</t>
  </si>
  <si>
    <t>6000200000</t>
  </si>
  <si>
    <t>Строительство и содержание автомобильных дорог и инженерных сооружений на них в границах городских округов и поселений в рамках благоустройства</t>
  </si>
  <si>
    <t>Депутаты представительного органа муниципального образования</t>
  </si>
  <si>
    <t>0020300000</t>
  </si>
  <si>
    <t>Глава муниципального образования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</si>
  <si>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</si>
  <si>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Развитие и совершенствование институтов гражданского общества в городе Черемхово через деятельность территориального общественного самоуправления </t>
  </si>
  <si>
    <t>Повышение уровня благоустройства дворовых и общественных территорий (федеральный проект «Формирование комфортной городской среды»)</t>
  </si>
  <si>
    <t>10521S2050</t>
  </si>
  <si>
    <t>Капитальный ремонт образовательных организаций, находящихся в муниципальной собственности</t>
  </si>
  <si>
    <t>Муниципальная программа «Реализация государственной национальной политики в городе Черемхово»</t>
  </si>
  <si>
    <t>Увеличение количества муниципальных образовательных организаций, отвечающих современным требованиям  осуществления образовательного процесса</t>
  </si>
  <si>
    <t>10512S2610</t>
  </si>
  <si>
    <t>Капитальные вложения в объекты муниципальной собственности на реализацию мероприятий по строительству, реконструкции образовательных организаций</t>
  </si>
  <si>
    <t>1052200000</t>
  </si>
  <si>
    <t>Организация технического обслуживания и ремонта зданий муниципальных образовательных организаций</t>
  </si>
  <si>
    <t>Осуществление областных государственных полномочий по обеспечению бесплатным двухразовым питанием детей-инвалидов</t>
  </si>
  <si>
    <t>10542S2928</t>
  </si>
  <si>
    <t>Финансовое обеспечение мероприятий по обеспечению деятельности советников директоров по воспитанию и взаимодействию с детскими общественными объединениями в муниципальных образовательных организациях Иркутской области</t>
  </si>
  <si>
    <t>105EB51791</t>
  </si>
  <si>
    <t>Развитие муниципальной системы дополнительного образования в соответствии с Концепцией развития дополнительного образования детей Российской Федерации</t>
  </si>
  <si>
    <t>Увеличение числа обучающихся и воспитанников муниципальных образовательных организаций, участвующих в мероприятиях интеллектуальной, творческой, спортивной, профориентационной направленности, получивших признание на федеральном, региональном и муниципальном уровнях</t>
  </si>
  <si>
    <t>1055100000</t>
  </si>
  <si>
    <t>Общественное признание талантливых, одаренных, высокомотивированных обучающихся и воспитанников муниципальных образовательных организаций</t>
  </si>
  <si>
    <t>10601S2915</t>
  </si>
  <si>
    <t>Укрепление материально-технической базы детских художественных школ</t>
  </si>
  <si>
    <t>1103</t>
  </si>
  <si>
    <t>Спорт высших достижений</t>
  </si>
  <si>
    <t>10703S2070</t>
  </si>
  <si>
    <t>Организация отдыха детей в каникулярное время на укрепление материально-технической базы муниципальных учреждений</t>
  </si>
  <si>
    <t>Детские дошкольные учреждения</t>
  </si>
  <si>
    <t>4200000000</t>
  </si>
  <si>
    <t>42000S2370</t>
  </si>
  <si>
    <t xml:space="preserve"> 2026 год</t>
  </si>
  <si>
    <t>Обновление содержания и технологий дошкольного образования в соответствии с требованиями федерального государственного образовательного стандарта дошкольного образования</t>
  </si>
  <si>
    <t>Капитальный ремонт зданий муниципальных образовательных организаций</t>
  </si>
  <si>
    <t>Обеспечение безопасности обучающихся и работников муниципальных образовательных организаций во время их учебной и трудовой деятельности</t>
  </si>
  <si>
    <t>Улучшение условий и охраны труда, направленных на сохранение жизни и здоровья работников в процессе трудовой деятельности</t>
  </si>
  <si>
    <t>Повышение уровня обеспеченности муниципальной системы образования квалифицированными педагогическими работниками</t>
  </si>
  <si>
    <t>Привлечение молодых специалистов в систему образования города Черемхово</t>
  </si>
  <si>
    <t>Создание условий в муниципальных общеобразовательных организациях для повышения  качества образовательных результатов в соответствии с требованиями федеральных государственных образовательных стандартов  и Концепциями преподавания отдельных предметов</t>
  </si>
  <si>
    <t>Средства публичноправовой компании «Фонд развития территорий»</t>
  </si>
  <si>
    <t>Информационное обеспечение охраны труда и мотивация работодателей и работников к улучшению условий и охраны труда на рабочих местах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</si>
  <si>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</si>
  <si>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Сбор, удаление отходов и очистка сточных вод</t>
  </si>
  <si>
    <t>0602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</si>
  <si>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</si>
  <si>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Приобретение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</t>
  </si>
  <si>
    <t>Комплекс процессных мероприятий «Реализация мероприятий в области социальной политики»</t>
  </si>
  <si>
    <t>5350400000</t>
  </si>
  <si>
    <t>5300000000</t>
  </si>
  <si>
    <t>Государственная программа Иркутской области «Социальная поддержка населения»</t>
  </si>
  <si>
    <t>5550300000</t>
  </si>
  <si>
    <t>Комплекс процессных мероприятий «Осуществление государственных полномочий в сфере архивного дела Иркутской области»</t>
  </si>
  <si>
    <t>5750200000</t>
  </si>
  <si>
    <t>6000000000</t>
  </si>
  <si>
    <t>Мероприятия по благоустройству территории города</t>
  </si>
  <si>
    <t>6150200000</t>
  </si>
  <si>
    <t>Комплекс процессных мероприятий «Обеспечение проведения сбалансированной и стабильной политики в области государственного регулирования цен (тарифов)»</t>
  </si>
  <si>
    <t>6850100000</t>
  </si>
  <si>
    <t>Комплекс процессных мероприятий «Обеспечение деятельности в области ветеринарии»</t>
  </si>
  <si>
    <t>0405</t>
  </si>
  <si>
    <t>Сельское хозяйство и рыболовство</t>
  </si>
  <si>
    <t>10542S2988</t>
  </si>
  <si>
    <t>Приобретение средств обучения и воспитания (мебели для заниятий в учебных классах), необходимых для оснащения муниципальных образовательных организаций</t>
  </si>
  <si>
    <t>Реализация программы комплексного развития молодежной политики в регионах Российской Федерации «Регион для молодых» (федеральный проект «Молодежь России»)</t>
  </si>
  <si>
    <t>108EГ51160</t>
  </si>
  <si>
    <t>108EГ00000</t>
  </si>
  <si>
    <t>Региональный проект «Развитие системы поддержки молодежи («Молодежь России») (Иркутская область)»</t>
  </si>
  <si>
    <t>1090200000</t>
  </si>
  <si>
    <t>Укрепление материально-технической базы детско-юношеского спорта</t>
  </si>
  <si>
    <t>1120300000</t>
  </si>
  <si>
    <t>Социокультурная, спортивно-оздоровительная и социальная реабилитация инвалидов и маломобильных групп населения</t>
  </si>
  <si>
    <t>1130000000</t>
  </si>
  <si>
    <t>Муниципальная программа «Создание условий для оказания медицинской помощи населению и формирование системы мотивации граждан к здоровому образу жизни в городе Черемхово»</t>
  </si>
  <si>
    <t>1130030000</t>
  </si>
  <si>
    <t>Повышение информирования населения о возможности распространения социально значимых заболеваний и совершенствование мероприятий по профилактике заболеваний</t>
  </si>
  <si>
    <t>1130400000</t>
  </si>
  <si>
    <t>1130500000</t>
  </si>
  <si>
    <t>Формирование системы мотивации граждан к здоровому образу жизни, включая здоровое питание и отказ от вредных привычек</t>
  </si>
  <si>
    <t>Увеличение функций кабинетов спортивной медицины в учреждениях спорта</t>
  </si>
  <si>
    <t>1160000000</t>
  </si>
  <si>
    <t>Муниципальная программа «Энергосбережение и повышение энергетической эффективности на территории города Черемхово»</t>
  </si>
  <si>
    <t>Создание условий для повышения энергоэффективности инженерной инфраструктуры муниципальной собcтвенности</t>
  </si>
  <si>
    <t>1160200000</t>
  </si>
  <si>
    <t>Муниципальная программа «Молодым семьям - доступное жилье»</t>
  </si>
  <si>
    <t>1140000000</t>
  </si>
  <si>
    <t>10521L7500</t>
  </si>
  <si>
    <t>Реализация мероприятий по модернизации школьных систем образования</t>
  </si>
  <si>
    <t>к  решению  Думы города Черемхово</t>
  </si>
  <si>
    <t>0220300000</t>
  </si>
  <si>
    <t>Проведение муниципальных выборов</t>
  </si>
  <si>
    <t>0107</t>
  </si>
  <si>
    <t>Обеспечение проведения выборов и референдумов</t>
  </si>
  <si>
    <t>0200000000</t>
  </si>
  <si>
    <t>4210000000</t>
  </si>
  <si>
    <t>Школы-детские сады, школы начальные, неполные средние и средние</t>
  </si>
  <si>
    <t>42100S2370</t>
  </si>
  <si>
    <t>61111S2370</t>
  </si>
  <si>
    <t>1040400000</t>
  </si>
  <si>
    <t>Обеспечение мероприятий по созданию эффективной системы противодействия терроризму</t>
  </si>
  <si>
    <t>10541S238В</t>
  </si>
  <si>
    <t>Инициативный проект «Иммунити»: здоровьесберегающее пространство для детей дошкольного возраста» (оборудование соляной комнаты в МДОУ № 5 г. Черемхово)</t>
  </si>
  <si>
    <t>10541S238Г</t>
  </si>
  <si>
    <t>Инициативный проект «Интерактивный забор» (ремонт ограждения с организацией тематических зон и установкой интерактивных элементов в МДОУ № 7 г. Черемхово)</t>
  </si>
  <si>
    <t>10541S238Р</t>
  </si>
  <si>
    <t>Инициативный проект «Лекотека» (создание развивающей среды для детей с ограниченными возможностями здоровья в МДОУ № 43 г. Черемхово)</t>
  </si>
  <si>
    <t>10542S238Д</t>
  </si>
  <si>
    <t>Инициативный проект «Школьная столовая будущего» (модернизация пищеблока школьной столовой в МОУ Школа № 1 г. Черемхово)</t>
  </si>
  <si>
    <t>10542S238Е</t>
  </si>
  <si>
    <t>Инициативный проект «Коворкинг-центр (мобильный актовый зал)» (создание коворкинг-центра в МОУ Школа № 16 г. Черемхово)</t>
  </si>
  <si>
    <t>10542S238Ж</t>
  </si>
  <si>
    <t>Инициативный проект «Комната детских инициатив и семейного досуга «ВСЕ в ПЛЮСЕ» (создание пространства для общения в МОУ Школа № 9 г. Черемхово)</t>
  </si>
  <si>
    <t>10542S238К</t>
  </si>
  <si>
    <t>Инициативный проект «Воркаут площадка - территория здоровья» (создание спортивной площадки при МОУ Школа № 6 г. Черемхово)</t>
  </si>
  <si>
    <t>10542S238П</t>
  </si>
  <si>
    <t>Инициативный проект «Старт к здоровому будущему» (обустройство спортивной площадки при МОУ Школа № 32 г. Черемхово)</t>
  </si>
  <si>
    <t>10542S238С</t>
  </si>
  <si>
    <t>Инициативный проект «Лицейский центр ДеТвоРа: детство, творчество, развитие» (создание центра дополнительного образования в МОУ Лицей г. Черемхово)</t>
  </si>
  <si>
    <t>10542S2934</t>
  </si>
  <si>
    <t>Приобретение средств обучения и воспитания, необходимых для оснащения учебных кабинетов муниципальных общеобразовательных организаций</t>
  </si>
  <si>
    <t>10601S2100</t>
  </si>
  <si>
    <t>Модернизация зданий и обновление материально-технической базы учреждений культуры</t>
  </si>
  <si>
    <t>1060274411</t>
  </si>
  <si>
    <t>Восстановление мемориальных сооружений и объектов, увековечивающих память погибших при защите Отечества</t>
  </si>
  <si>
    <t>10703S2850</t>
  </si>
  <si>
    <t>Приобретение спортивного оборудования и инвентаря для оснащения муниципальных организаций, осуществляющих свою деятельность в сфере физической культуры и спорта</t>
  </si>
  <si>
    <t>107Р572997</t>
  </si>
  <si>
    <t>Обеспечение уровня финансирования организаций, осуществляющих спортивную подготовку, в соответствии с требованиями федеральных стандартов спортивной подготовки</t>
  </si>
  <si>
    <t>1190200000</t>
  </si>
  <si>
    <t>Проведение работ по внесению сведений о границах города Черемхово, о территориальных зонах города Черемхово в Единый государственный реестр недвижимости</t>
  </si>
  <si>
    <t>1210100000</t>
  </si>
  <si>
    <t>Строительство котельной по ул. Свердлова в городе Черемхово со строительством и реконструкцией теплотрассы</t>
  </si>
  <si>
    <t>12102S2430</t>
  </si>
  <si>
    <t>Строительство, реконструкция и модернизация объектов водоснабжения, водоотведения и очистки сточных вод, в том числе разработка проектной документации, а также приобретение указанных объектов в муниципальную собственность</t>
  </si>
  <si>
    <t>1220100000</t>
  </si>
  <si>
    <t>Повышение уровня благоустройства дворовых территорий</t>
  </si>
  <si>
    <t>12201S238И</t>
  </si>
  <si>
    <t>Инициативный проект «Спорт моего двора» (благоустройство придомовой территории по ул. Лермонтова, 1)</t>
  </si>
  <si>
    <t>12201S238Л</t>
  </si>
  <si>
    <t>Инициативный проект «Благоустройство придомовой территории» (благоустройство придомовой территории по ул. Шевченко, 68)</t>
  </si>
  <si>
    <t>12201S238М</t>
  </si>
  <si>
    <t>Инициативный проект «ЗОЖ - шаг к здоровью и долголетию» (благоустройство дворовой территории по ул. Забойщика, 24)</t>
  </si>
  <si>
    <t>12202S238А</t>
  </si>
  <si>
    <t>Инициативный проект «Благоустройство сквера Победы» (благоустройство территории возле Памятника-мемориала воинам-машиностроителям)</t>
  </si>
  <si>
    <t>12202S238Б</t>
  </si>
  <si>
    <t>Инициативный проект «Партерный транзитный сквер «Путь желаний» (благоустройство пешеходного маршрута в формате сквера)</t>
  </si>
  <si>
    <t>12202S238Н</t>
  </si>
  <si>
    <t>Инициативный проект «Литературный сад» (благоустройство сквера, прилегающего к зданию городской библиотеки имени А. Вампилова)</t>
  </si>
  <si>
    <t>1230100000</t>
  </si>
  <si>
    <t>Совершенствование системы экологического воспитания и образования населения</t>
  </si>
  <si>
    <t>12303S2820</t>
  </si>
  <si>
    <t>Организация сбора, транспортирования и утилизации (захоронение) твердых коммунальных отходов с несанкционированных мест размещения отходов</t>
  </si>
  <si>
    <t>Выявление и оценка объектов накопленного вреда окружающей среде и организацию работ по ликвидации накопленного вреда окружающей среде</t>
  </si>
  <si>
    <t>12401S2906</t>
  </si>
  <si>
    <t>Реализация муниципальной программы в сфере государственной национальной политики</t>
  </si>
  <si>
    <t>4579900000</t>
  </si>
  <si>
    <t>1202</t>
  </si>
  <si>
    <t>Периодическая печать и издательства</t>
  </si>
  <si>
    <t>12303S2927</t>
  </si>
  <si>
    <t>Распределение бюджетных ассигнований по целевым статьям  (муниципальным программам и непрограммным направлениям   деятельности), группам видов расходов, разделам, подразделам классификации расходов бюджетов на 2024 год  и плановый период 2025 и 2026 годов</t>
  </si>
  <si>
    <t>РзПР</t>
  </si>
  <si>
    <t>1054250501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</si>
  <si>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 Иркутской области</t>
  </si>
  <si>
    <t>106J172851</t>
  </si>
  <si>
    <t>Поддержка и продвижение событийных мероприятий, направленных на развитие туризма (федеральный проект «Развитие туристической инфраструктуры»)</t>
  </si>
  <si>
    <t>1070400000</t>
  </si>
  <si>
    <t>Улучшение технического состояния объектов муниципальной собственности в сфере физической культуры и спорта, объектов городской инфраструктуры для занятий физической культурой и спортом, с целью повышения уровня доступности объектов для горожан</t>
  </si>
  <si>
    <t>10902S7530</t>
  </si>
  <si>
    <t>Создание «умных» спортивных площадок в рамках реализации регионального проекта «Бизнес-спринт (Я выбираю спорт)»</t>
  </si>
  <si>
    <t>1160100000</t>
  </si>
  <si>
    <t>Создание условий для обеспечения энергосбережения и повышения энергетической эффективности на территории города Черемхово при потреблении энергетических ресурсов и воды</t>
  </si>
  <si>
    <t>11602S2981</t>
  </si>
  <si>
    <t>Мероприятия по содействию развития и модернизации электроэнергетики</t>
  </si>
  <si>
    <t>36105S2370</t>
  </si>
  <si>
    <t>45399S2370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</si>
  <si>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</si>
  <si>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5350473060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</si>
  <si>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</si>
  <si>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5550373070</t>
  </si>
  <si>
    <t>Основное мероприятие «Обеспечение осуществления отдельных областных государственных полномочий в сфере труда»</t>
  </si>
  <si>
    <t>Осуществление отдельных областных государственных полномочий в сфере труда</t>
  </si>
  <si>
    <t>5750273090</t>
  </si>
  <si>
    <t>60005S2370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</si>
  <si>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</si>
  <si>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6150273100</t>
  </si>
  <si>
    <t>Осуществление отдельных областных государственных полномочий в сфере водоснабжения и водоотведения</t>
  </si>
  <si>
    <t>6150273110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</si>
  <si>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</t>
  </si>
  <si>
    <t>6850173120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</si>
  <si>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</si>
  <si>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90A0151200</t>
  </si>
  <si>
    <t xml:space="preserve">Осуществление областных государственных полномочий по определению персонального состава и обеспечению деятельности административных комиссий </t>
  </si>
  <si>
    <t>90A0173140</t>
  </si>
  <si>
    <t xml:space="preserve">Осуществление областных государственных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 </t>
  </si>
  <si>
    <t>90A0173150</t>
  </si>
  <si>
    <t xml:space="preserve">Мэр  города Черемхово        </t>
  </si>
  <si>
    <t>В. А. Семенов</t>
  </si>
  <si>
    <t xml:space="preserve">Председатель Думы города Черемхово </t>
  </si>
  <si>
    <t>Н. В. Морозова</t>
  </si>
  <si>
    <t>от__________________ №_________</t>
  </si>
  <si>
    <t>Условно утвержденные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</si>
</sst>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.0"/>
    <numFmt numFmtId="167" formatCode="?"/>
    <numFmt numFmtId="168" formatCode="#,##0.0;[Red]\-#,##0.0;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0000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4" fillId="0" borderId="0"/>
    <xf numFmtId="0" fontId="9" fillId="0" borderId="0"/>
    <xf numFmtId="0" fontId="10" fillId="0" borderId="0" applyNumberFormat="0" applyFill="0" applyBorder="0" applyAlignment="0" applyProtection="0"/>
    <xf numFmtId="0" fontId="8" fillId="0" borderId="0"/>
    <xf numFmtId="0" fontId="1" fillId="0" borderId="0"/>
    <xf numFmtId="0" fontId="1" fillId="0" borderId="0"/>
    <xf numFmtId="164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62">
    <xf numFmtId="0" fontId="0" fillId="0" borderId="0" xfId="0"/>
    <xf numFmtId="166" fontId="0" fillId="0" borderId="0" xfId="0" applyNumberFormat="1"/>
    <xf numFmtId="4" fontId="0" fillId="0" borderId="0" xfId="0" applyNumberFormat="1"/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3" applyFont="1" applyFill="1" applyAlignment="1">
      <alignment vertical="top"/>
    </xf>
    <xf numFmtId="0" fontId="11" fillId="0" borderId="0" xfId="0" applyFont="1" applyFill="1" applyAlignment="1">
      <alignment vertical="center"/>
    </xf>
    <xf numFmtId="166" fontId="6" fillId="0" borderId="0" xfId="3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 applyProtection="1">
      <alignment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166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wrapText="1"/>
    </xf>
    <xf numFmtId="0" fontId="12" fillId="0" borderId="0" xfId="0" applyFont="1" applyFill="1" applyBorder="1" applyAlignment="1" applyProtection="1"/>
    <xf numFmtId="0" fontId="11" fillId="0" borderId="0" xfId="0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1" fillId="0" borderId="0" xfId="3" applyFont="1" applyFill="1"/>
    <xf numFmtId="0" fontId="11" fillId="0" borderId="0" xfId="0" applyFont="1" applyFill="1" applyAlignment="1">
      <alignment horizontal="center" vertical="center"/>
    </xf>
    <xf numFmtId="0" fontId="11" fillId="0" borderId="0" xfId="3" applyFont="1" applyFill="1" applyAlignment="1"/>
    <xf numFmtId="0" fontId="11" fillId="0" borderId="0" xfId="0" applyFont="1" applyFill="1" applyAlignment="1"/>
    <xf numFmtId="166" fontId="13" fillId="0" borderId="0" xfId="0" applyNumberFormat="1" applyFont="1" applyFill="1"/>
    <xf numFmtId="49" fontId="15" fillId="0" borderId="1" xfId="0" applyNumberFormat="1" applyFont="1" applyFill="1" applyBorder="1" applyAlignment="1" applyProtection="1">
      <alignment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166" fontId="15" fillId="0" borderId="1" xfId="0" applyNumberFormat="1" applyFont="1" applyFill="1" applyBorder="1" applyAlignment="1" applyProtection="1">
      <alignment horizontal="center" vertical="center" wrapText="1"/>
    </xf>
    <xf numFmtId="167" fontId="11" fillId="0" borderId="1" xfId="0" applyNumberFormat="1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vertical="center" wrapText="1"/>
    </xf>
    <xf numFmtId="49" fontId="18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/>
    <xf numFmtId="49" fontId="11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166" fontId="11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2" fontId="11" fillId="0" borderId="1" xfId="0" applyNumberFormat="1" applyFont="1" applyFill="1" applyBorder="1" applyAlignment="1">
      <alignment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right" vertical="center"/>
    </xf>
    <xf numFmtId="0" fontId="6" fillId="0" borderId="0" xfId="3" applyFont="1" applyFill="1" applyAlignment="1">
      <alignment wrapText="1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166" fontId="6" fillId="0" borderId="0" xfId="3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5" fillId="0" borderId="0" xfId="2" applyNumberFormat="1" applyFont="1" applyFill="1" applyBorder="1" applyAlignment="1">
      <alignment horizontal="center" vertical="top" wrapText="1" readingOrder="1"/>
    </xf>
    <xf numFmtId="168" fontId="6" fillId="0" borderId="0" xfId="3" applyNumberFormat="1" applyFont="1" applyFill="1" applyBorder="1" applyAlignment="1">
      <alignment horizontal="right"/>
    </xf>
  </cellXfs>
  <cellStyles count="11">
    <cellStyle name="Normal" xfId="2" xr:uid="{00000000-0005-0000-0000-000000000000}"/>
    <cellStyle name="Гиперссылка 2" xfId="4" xr:uid="{00000000-0005-0000-0000-000001000000}"/>
    <cellStyle name="Обычный" xfId="0" builtinId="0"/>
    <cellStyle name="Обычный 2" xfId="1" xr:uid="{00000000-0005-0000-0000-000003000000}"/>
    <cellStyle name="Обычный 2 2" xfId="5" xr:uid="{00000000-0005-0000-0000-000004000000}"/>
    <cellStyle name="Обычный 3" xfId="6" xr:uid="{00000000-0005-0000-0000-000005000000}"/>
    <cellStyle name="Обычный 4" xfId="7" xr:uid="{00000000-0005-0000-0000-000006000000}"/>
    <cellStyle name="Обычный 5" xfId="3" xr:uid="{00000000-0005-0000-0000-000007000000}"/>
    <cellStyle name="Тысячи [0]_Лист1" xfId="8" xr:uid="{00000000-0005-0000-0000-000008000000}"/>
    <cellStyle name="Тысячи_Лист1" xfId="9" xr:uid="{00000000-0005-0000-0000-000009000000}"/>
    <cellStyle name="Финансовый 2" xfId="10" xr:uid="{00000000-0005-0000-0000-00000A000000}"/>
  </cellStyles>
  <dxfs count="0"/>
  <tableStyles count="0" defaultTableStyle="TableStyleMedium2" defaultPivotStyle="PivotStyleLight16"/>
  <colors>
    <mruColors>
      <color rgb="FFFF99FF"/>
      <color rgb="FFFF99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1"/>
  <sheetViews>
    <sheetView tabSelected="1" view="pageBreakPreview" topLeftCell="A761" zoomScale="120" zoomScaleNormal="120" zoomScaleSheetLayoutView="120" workbookViewId="0">
      <selection activeCell="A765" sqref="A765"/>
    </sheetView>
  </sheetViews>
  <sheetFormatPr defaultColWidth="9.109375" defaultRowHeight="13.2" x14ac:dyDescent="0.25"/>
  <cols>
    <col min="1" max="1" width="56.6640625" style="5" customWidth="1"/>
    <col min="2" max="2" width="14.33203125" style="11" customWidth="1"/>
    <col min="3" max="3" width="6.6640625" style="11" customWidth="1"/>
    <col min="4" max="4" width="7.6640625" style="11" customWidth="1"/>
    <col min="5" max="5" width="15.5546875" style="24" customWidth="1"/>
    <col min="6" max="6" width="13.109375" style="24" customWidth="1"/>
    <col min="7" max="7" width="13.6640625" style="24" customWidth="1"/>
    <col min="8" max="10" width="9.109375" style="11" customWidth="1"/>
    <col min="11" max="16384" width="9.109375" style="11"/>
  </cols>
  <sheetData>
    <row r="1" spans="1:12" ht="18" x14ac:dyDescent="0.25">
      <c r="E1" s="59" t="s">
        <v>291</v>
      </c>
      <c r="F1" s="59"/>
      <c r="G1" s="59"/>
    </row>
    <row r="2" spans="1:12" ht="18" x14ac:dyDescent="0.35">
      <c r="A2" s="12"/>
      <c r="B2" s="13"/>
      <c r="C2" s="58" t="s">
        <v>438</v>
      </c>
      <c r="D2" s="58"/>
      <c r="E2" s="58"/>
      <c r="F2" s="58"/>
      <c r="G2" s="58"/>
    </row>
    <row r="3" spans="1:12" ht="18" x14ac:dyDescent="0.35">
      <c r="A3" s="12"/>
      <c r="B3" s="13"/>
      <c r="C3" s="61" t="s">
        <v>549</v>
      </c>
      <c r="D3" s="61"/>
      <c r="E3" s="61"/>
      <c r="F3" s="61"/>
      <c r="G3" s="61"/>
    </row>
    <row r="4" spans="1:12" ht="18" x14ac:dyDescent="0.35">
      <c r="A4" s="12"/>
      <c r="B4" s="13"/>
      <c r="C4" s="13"/>
      <c r="D4" s="13"/>
      <c r="E4" s="14"/>
      <c r="F4" s="14"/>
      <c r="G4" s="14"/>
    </row>
    <row r="5" spans="1:12" ht="59.25" customHeight="1" x14ac:dyDescent="0.25">
      <c r="A5" s="60" t="s">
        <v>509</v>
      </c>
      <c r="B5" s="60"/>
      <c r="C5" s="60"/>
      <c r="D5" s="60"/>
      <c r="E5" s="60"/>
      <c r="F5" s="60"/>
      <c r="G5" s="60"/>
    </row>
    <row r="6" spans="1:12" ht="18" x14ac:dyDescent="0.35">
      <c r="A6" s="15"/>
      <c r="B6" s="13"/>
      <c r="C6" s="16"/>
      <c r="D6" s="16"/>
      <c r="E6" s="17"/>
      <c r="F6" s="17"/>
      <c r="G6" s="17" t="s">
        <v>5</v>
      </c>
      <c r="H6" s="18"/>
      <c r="I6" s="19"/>
      <c r="J6" s="58"/>
      <c r="K6" s="58"/>
      <c r="L6" s="58"/>
    </row>
    <row r="7" spans="1:12" s="20" customFormat="1" ht="18" x14ac:dyDescent="0.35">
      <c r="A7" s="3" t="s">
        <v>105</v>
      </c>
      <c r="B7" s="3" t="s">
        <v>6</v>
      </c>
      <c r="C7" s="3" t="s">
        <v>7</v>
      </c>
      <c r="D7" s="3" t="s">
        <v>510</v>
      </c>
      <c r="E7" s="3" t="s">
        <v>288</v>
      </c>
      <c r="F7" s="3" t="s">
        <v>334</v>
      </c>
      <c r="G7" s="3" t="s">
        <v>382</v>
      </c>
      <c r="J7" s="58"/>
      <c r="K7" s="58"/>
      <c r="L7" s="58"/>
    </row>
    <row r="8" spans="1:12" s="20" customFormat="1" ht="15" customHeight="1" x14ac:dyDescent="0.35">
      <c r="A8" s="33" t="s">
        <v>269</v>
      </c>
      <c r="B8" s="33" t="s">
        <v>270</v>
      </c>
      <c r="C8" s="33" t="s">
        <v>271</v>
      </c>
      <c r="D8" s="33" t="s">
        <v>272</v>
      </c>
      <c r="E8" s="33" t="s">
        <v>273</v>
      </c>
      <c r="F8" s="33" t="s">
        <v>274</v>
      </c>
      <c r="G8" s="33" t="s">
        <v>275</v>
      </c>
      <c r="J8" s="51"/>
      <c r="K8" s="51"/>
      <c r="L8" s="51"/>
    </row>
    <row r="9" spans="1:12" ht="16.2" customHeight="1" x14ac:dyDescent="0.25">
      <c r="A9" s="7" t="s">
        <v>29</v>
      </c>
      <c r="B9" s="8" t="s">
        <v>30</v>
      </c>
      <c r="C9" s="8"/>
      <c r="D9" s="8"/>
      <c r="E9" s="9">
        <f>E10+E19+E23+E41+E62+E246+E295+E331+E355+E367+E378+E388+E424+E449+E459+E466+E473+E490+E518+E542+E402+E437+E419</f>
        <v>4547210.4000000004</v>
      </c>
      <c r="F9" s="9">
        <f>F10+F19+F23+F41+F62+F246+F295+F331+F355+F367+F378+F388+F424+F449+F459+F466+F473+F490+F518+F542+F402+F437+F419</f>
        <v>2215658.7999999998</v>
      </c>
      <c r="G9" s="9">
        <f>G10+G19+G23+G41+G62+G246+G295+G331+G355+G367+G378+G388+G424+G449+G459+G466+G473+G490+G518+G542+G402+G437+G419</f>
        <v>1887889.0999999999</v>
      </c>
      <c r="H9" s="21"/>
    </row>
    <row r="10" spans="1:12" ht="28.95" customHeight="1" x14ac:dyDescent="0.25">
      <c r="A10" s="7" t="s">
        <v>106</v>
      </c>
      <c r="B10" s="8" t="s">
        <v>107</v>
      </c>
      <c r="C10" s="8"/>
      <c r="D10" s="8"/>
      <c r="E10" s="9">
        <f>E11+E14</f>
        <v>200</v>
      </c>
      <c r="F10" s="9">
        <f>F11+F14</f>
        <v>200</v>
      </c>
      <c r="G10" s="9">
        <f>G11+G14</f>
        <v>200</v>
      </c>
      <c r="H10" s="21"/>
    </row>
    <row r="11" spans="1:12" ht="30" customHeight="1" x14ac:dyDescent="0.25">
      <c r="A11" s="7" t="s">
        <v>108</v>
      </c>
      <c r="B11" s="8" t="s">
        <v>109</v>
      </c>
      <c r="C11" s="8"/>
      <c r="D11" s="8"/>
      <c r="E11" s="9">
        <f>E12</f>
        <v>60</v>
      </c>
      <c r="F11" s="9">
        <f t="shared" ref="F11:G11" si="0">F12</f>
        <v>60</v>
      </c>
      <c r="G11" s="9">
        <f t="shared" si="0"/>
        <v>60</v>
      </c>
      <c r="H11" s="21"/>
    </row>
    <row r="12" spans="1:12" ht="26.4" x14ac:dyDescent="0.25">
      <c r="A12" s="7" t="s">
        <v>118</v>
      </c>
      <c r="B12" s="8" t="s">
        <v>109</v>
      </c>
      <c r="C12" s="8" t="s">
        <v>0</v>
      </c>
      <c r="D12" s="8"/>
      <c r="E12" s="9">
        <f>E13</f>
        <v>60</v>
      </c>
      <c r="F12" s="9">
        <f t="shared" ref="F12:G12" si="1">F13</f>
        <v>60</v>
      </c>
      <c r="G12" s="9">
        <f t="shared" si="1"/>
        <v>60</v>
      </c>
      <c r="H12" s="22"/>
    </row>
    <row r="13" spans="1:12" ht="16.2" customHeight="1" x14ac:dyDescent="0.25">
      <c r="A13" s="7" t="s">
        <v>150</v>
      </c>
      <c r="B13" s="8" t="s">
        <v>109</v>
      </c>
      <c r="C13" s="8" t="s">
        <v>0</v>
      </c>
      <c r="D13" s="8" t="s">
        <v>110</v>
      </c>
      <c r="E13" s="9">
        <v>60</v>
      </c>
      <c r="F13" s="9">
        <v>60</v>
      </c>
      <c r="G13" s="9">
        <v>60</v>
      </c>
      <c r="H13" s="22"/>
    </row>
    <row r="14" spans="1:12" ht="26.4" x14ac:dyDescent="0.25">
      <c r="A14" s="7" t="s">
        <v>111</v>
      </c>
      <c r="B14" s="8" t="s">
        <v>112</v>
      </c>
      <c r="C14" s="8"/>
      <c r="D14" s="8"/>
      <c r="E14" s="9">
        <f>E15+E17</f>
        <v>140</v>
      </c>
      <c r="F14" s="9">
        <f t="shared" ref="F14:G14" si="2">F15+F17</f>
        <v>140</v>
      </c>
      <c r="G14" s="9">
        <f t="shared" si="2"/>
        <v>140</v>
      </c>
      <c r="H14" s="22"/>
    </row>
    <row r="15" spans="1:12" ht="26.4" x14ac:dyDescent="0.25">
      <c r="A15" s="7" t="s">
        <v>118</v>
      </c>
      <c r="B15" s="8" t="s">
        <v>112</v>
      </c>
      <c r="C15" s="8" t="s">
        <v>0</v>
      </c>
      <c r="D15" s="8"/>
      <c r="E15" s="9">
        <f>E16</f>
        <v>80</v>
      </c>
      <c r="F15" s="9">
        <f>F16</f>
        <v>80</v>
      </c>
      <c r="G15" s="9">
        <f>G16</f>
        <v>80</v>
      </c>
      <c r="H15" s="22"/>
    </row>
    <row r="16" spans="1:12" x14ac:dyDescent="0.25">
      <c r="A16" s="7" t="s">
        <v>150</v>
      </c>
      <c r="B16" s="8" t="s">
        <v>112</v>
      </c>
      <c r="C16" s="8" t="s">
        <v>0</v>
      </c>
      <c r="D16" s="8" t="s">
        <v>110</v>
      </c>
      <c r="E16" s="9">
        <v>80</v>
      </c>
      <c r="F16" s="9">
        <v>80</v>
      </c>
      <c r="G16" s="9">
        <v>80</v>
      </c>
      <c r="H16" s="22"/>
    </row>
    <row r="17" spans="1:8" x14ac:dyDescent="0.25">
      <c r="A17" s="7" t="s">
        <v>119</v>
      </c>
      <c r="B17" s="8" t="s">
        <v>112</v>
      </c>
      <c r="C17" s="8" t="s">
        <v>2</v>
      </c>
      <c r="D17" s="8"/>
      <c r="E17" s="9">
        <f>E18</f>
        <v>60</v>
      </c>
      <c r="F17" s="9">
        <f t="shared" ref="F17:G17" si="3">F18</f>
        <v>60</v>
      </c>
      <c r="G17" s="9">
        <f t="shared" si="3"/>
        <v>60</v>
      </c>
      <c r="H17" s="22"/>
    </row>
    <row r="18" spans="1:8" x14ac:dyDescent="0.25">
      <c r="A18" s="7" t="s">
        <v>150</v>
      </c>
      <c r="B18" s="8" t="s">
        <v>112</v>
      </c>
      <c r="C18" s="8" t="s">
        <v>2</v>
      </c>
      <c r="D18" s="8" t="s">
        <v>110</v>
      </c>
      <c r="E18" s="9">
        <v>60</v>
      </c>
      <c r="F18" s="9">
        <v>60</v>
      </c>
      <c r="G18" s="9">
        <v>60</v>
      </c>
      <c r="H18" s="22"/>
    </row>
    <row r="19" spans="1:8" ht="26.4" x14ac:dyDescent="0.25">
      <c r="A19" s="7" t="s">
        <v>297</v>
      </c>
      <c r="B19" s="8" t="s">
        <v>113</v>
      </c>
      <c r="C19" s="8"/>
      <c r="D19" s="8"/>
      <c r="E19" s="9">
        <f>E20</f>
        <v>200</v>
      </c>
      <c r="F19" s="9">
        <f t="shared" ref="F19:G19" si="4">F20</f>
        <v>200</v>
      </c>
      <c r="G19" s="9">
        <f t="shared" si="4"/>
        <v>200</v>
      </c>
      <c r="H19" s="21"/>
    </row>
    <row r="20" spans="1:8" ht="39.6" x14ac:dyDescent="0.25">
      <c r="A20" s="7" t="s">
        <v>391</v>
      </c>
      <c r="B20" s="8" t="s">
        <v>114</v>
      </c>
      <c r="C20" s="8"/>
      <c r="D20" s="8"/>
      <c r="E20" s="9">
        <f>E21</f>
        <v>200</v>
      </c>
      <c r="F20" s="9">
        <f t="shared" ref="F20:G20" si="5">F21</f>
        <v>200</v>
      </c>
      <c r="G20" s="9">
        <f t="shared" si="5"/>
        <v>200</v>
      </c>
      <c r="H20" s="21"/>
    </row>
    <row r="21" spans="1:8" ht="28.2" customHeight="1" x14ac:dyDescent="0.25">
      <c r="A21" s="7" t="s">
        <v>118</v>
      </c>
      <c r="B21" s="8" t="s">
        <v>114</v>
      </c>
      <c r="C21" s="8" t="s">
        <v>0</v>
      </c>
      <c r="D21" s="8"/>
      <c r="E21" s="9">
        <f>E22</f>
        <v>200</v>
      </c>
      <c r="F21" s="9">
        <f t="shared" ref="F21:G21" si="6">F22</f>
        <v>200</v>
      </c>
      <c r="G21" s="9">
        <f t="shared" si="6"/>
        <v>200</v>
      </c>
      <c r="H21" s="21"/>
    </row>
    <row r="22" spans="1:8" ht="15" customHeight="1" x14ac:dyDescent="0.25">
      <c r="A22" s="7" t="s">
        <v>151</v>
      </c>
      <c r="B22" s="8" t="s">
        <v>114</v>
      </c>
      <c r="C22" s="8" t="s">
        <v>0</v>
      </c>
      <c r="D22" s="8" t="s">
        <v>93</v>
      </c>
      <c r="E22" s="9">
        <v>200</v>
      </c>
      <c r="F22" s="9">
        <v>200</v>
      </c>
      <c r="G22" s="9">
        <v>200</v>
      </c>
      <c r="H22" s="21"/>
    </row>
    <row r="23" spans="1:8" x14ac:dyDescent="0.25">
      <c r="A23" s="7" t="s">
        <v>298</v>
      </c>
      <c r="B23" s="8" t="s">
        <v>115</v>
      </c>
      <c r="C23" s="8"/>
      <c r="D23" s="8"/>
      <c r="E23" s="9">
        <f>E24+E31+E38</f>
        <v>2572.1999999999998</v>
      </c>
      <c r="F23" s="9">
        <f>F24+F31+F38</f>
        <v>915</v>
      </c>
      <c r="G23" s="9">
        <f>G24+G31+G38</f>
        <v>0</v>
      </c>
      <c r="H23" s="21"/>
    </row>
    <row r="24" spans="1:8" ht="39.6" x14ac:dyDescent="0.25">
      <c r="A24" s="7" t="s">
        <v>355</v>
      </c>
      <c r="B24" s="8" t="s">
        <v>116</v>
      </c>
      <c r="C24" s="8"/>
      <c r="D24" s="8"/>
      <c r="E24" s="9">
        <f>E25+E27+E29</f>
        <v>1514.8</v>
      </c>
      <c r="F24" s="9">
        <f t="shared" ref="F24:G24" si="7">F25+F27+F29</f>
        <v>602.79999999999995</v>
      </c>
      <c r="G24" s="9">
        <f t="shared" si="7"/>
        <v>0</v>
      </c>
      <c r="H24" s="21"/>
    </row>
    <row r="25" spans="1:8" ht="52.8" x14ac:dyDescent="0.25">
      <c r="A25" s="7" t="s">
        <v>117</v>
      </c>
      <c r="B25" s="8" t="s">
        <v>116</v>
      </c>
      <c r="C25" s="8" t="s">
        <v>4</v>
      </c>
      <c r="D25" s="8"/>
      <c r="E25" s="9">
        <f>E26</f>
        <v>456</v>
      </c>
      <c r="F25" s="9">
        <f t="shared" ref="F25:G25" si="8">F26</f>
        <v>456</v>
      </c>
      <c r="G25" s="9">
        <f t="shared" si="8"/>
        <v>0</v>
      </c>
      <c r="H25" s="21"/>
    </row>
    <row r="26" spans="1:8" x14ac:dyDescent="0.25">
      <c r="A26" s="7" t="s">
        <v>151</v>
      </c>
      <c r="B26" s="8" t="s">
        <v>116</v>
      </c>
      <c r="C26" s="8" t="s">
        <v>4</v>
      </c>
      <c r="D26" s="8" t="s">
        <v>93</v>
      </c>
      <c r="E26" s="9">
        <v>456</v>
      </c>
      <c r="F26" s="9">
        <v>456</v>
      </c>
      <c r="G26" s="9">
        <f>0</f>
        <v>0</v>
      </c>
      <c r="H26" s="21"/>
    </row>
    <row r="27" spans="1:8" ht="26.4" x14ac:dyDescent="0.25">
      <c r="A27" s="7" t="s">
        <v>118</v>
      </c>
      <c r="B27" s="8" t="s">
        <v>116</v>
      </c>
      <c r="C27" s="8" t="s">
        <v>0</v>
      </c>
      <c r="D27" s="8"/>
      <c r="E27" s="9">
        <f>E28</f>
        <v>958.8</v>
      </c>
      <c r="F27" s="9">
        <f t="shared" ref="F27:G27" si="9">F28</f>
        <v>46.8</v>
      </c>
      <c r="G27" s="9">
        <f t="shared" si="9"/>
        <v>0</v>
      </c>
      <c r="H27" s="21"/>
    </row>
    <row r="28" spans="1:8" x14ac:dyDescent="0.25">
      <c r="A28" s="7" t="s">
        <v>151</v>
      </c>
      <c r="B28" s="8" t="s">
        <v>116</v>
      </c>
      <c r="C28" s="8" t="s">
        <v>0</v>
      </c>
      <c r="D28" s="8" t="s">
        <v>93</v>
      </c>
      <c r="E28" s="9">
        <f>958.8</f>
        <v>958.8</v>
      </c>
      <c r="F28" s="9">
        <v>46.8</v>
      </c>
      <c r="G28" s="9">
        <v>0</v>
      </c>
      <c r="H28" s="21"/>
    </row>
    <row r="29" spans="1:8" x14ac:dyDescent="0.25">
      <c r="A29" s="7" t="s">
        <v>119</v>
      </c>
      <c r="B29" s="8" t="s">
        <v>116</v>
      </c>
      <c r="C29" s="8" t="s">
        <v>2</v>
      </c>
      <c r="D29" s="8"/>
      <c r="E29" s="9">
        <f>E30</f>
        <v>100</v>
      </c>
      <c r="F29" s="9">
        <f t="shared" ref="F29:G29" si="10">F30</f>
        <v>100</v>
      </c>
      <c r="G29" s="9">
        <f t="shared" si="10"/>
        <v>0</v>
      </c>
      <c r="H29" s="21"/>
    </row>
    <row r="30" spans="1:8" x14ac:dyDescent="0.25">
      <c r="A30" s="7" t="s">
        <v>151</v>
      </c>
      <c r="B30" s="8" t="s">
        <v>116</v>
      </c>
      <c r="C30" s="8" t="s">
        <v>2</v>
      </c>
      <c r="D30" s="8" t="s">
        <v>93</v>
      </c>
      <c r="E30" s="9">
        <v>100</v>
      </c>
      <c r="F30" s="9">
        <v>100</v>
      </c>
      <c r="G30" s="9">
        <v>0</v>
      </c>
      <c r="H30" s="21"/>
    </row>
    <row r="31" spans="1:8" ht="39.6" x14ac:dyDescent="0.25">
      <c r="A31" s="7" t="s">
        <v>120</v>
      </c>
      <c r="B31" s="8" t="s">
        <v>121</v>
      </c>
      <c r="C31" s="8"/>
      <c r="D31" s="8"/>
      <c r="E31" s="9">
        <f>E32+E34+E36</f>
        <v>1007.4</v>
      </c>
      <c r="F31" s="9">
        <f t="shared" ref="F31:G31" si="11">F32+F34+F36</f>
        <v>262.2</v>
      </c>
      <c r="G31" s="9">
        <f t="shared" si="11"/>
        <v>0</v>
      </c>
      <c r="H31" s="21"/>
    </row>
    <row r="32" spans="1:8" ht="26.4" x14ac:dyDescent="0.25">
      <c r="A32" s="7" t="s">
        <v>118</v>
      </c>
      <c r="B32" s="8" t="s">
        <v>121</v>
      </c>
      <c r="C32" s="8" t="s">
        <v>0</v>
      </c>
      <c r="D32" s="8"/>
      <c r="E32" s="9">
        <f>E33</f>
        <v>507.4</v>
      </c>
      <c r="F32" s="9">
        <f t="shared" ref="F32:G32" si="12">F33</f>
        <v>50</v>
      </c>
      <c r="G32" s="9">
        <f t="shared" si="12"/>
        <v>0</v>
      </c>
      <c r="H32" s="21"/>
    </row>
    <row r="33" spans="1:8" ht="15" customHeight="1" x14ac:dyDescent="0.25">
      <c r="A33" s="7" t="s">
        <v>151</v>
      </c>
      <c r="B33" s="8" t="s">
        <v>121</v>
      </c>
      <c r="C33" s="8" t="s">
        <v>0</v>
      </c>
      <c r="D33" s="8" t="s">
        <v>93</v>
      </c>
      <c r="E33" s="9">
        <v>507.4</v>
      </c>
      <c r="F33" s="9">
        <v>50</v>
      </c>
      <c r="G33" s="9">
        <v>0</v>
      </c>
      <c r="H33" s="21"/>
    </row>
    <row r="34" spans="1:8" x14ac:dyDescent="0.25">
      <c r="A34" s="7" t="s">
        <v>119</v>
      </c>
      <c r="B34" s="8" t="s">
        <v>121</v>
      </c>
      <c r="C34" s="8" t="s">
        <v>2</v>
      </c>
      <c r="D34" s="8"/>
      <c r="E34" s="9">
        <f>E35</f>
        <v>300</v>
      </c>
      <c r="F34" s="9">
        <f t="shared" ref="F34:G34" si="13">F35</f>
        <v>162.19999999999999</v>
      </c>
      <c r="G34" s="9">
        <f t="shared" si="13"/>
        <v>0</v>
      </c>
      <c r="H34" s="21"/>
    </row>
    <row r="35" spans="1:8" x14ac:dyDescent="0.25">
      <c r="A35" s="7" t="s">
        <v>151</v>
      </c>
      <c r="B35" s="8" t="s">
        <v>121</v>
      </c>
      <c r="C35" s="8" t="s">
        <v>2</v>
      </c>
      <c r="D35" s="8" t="s">
        <v>93</v>
      </c>
      <c r="E35" s="9">
        <f>300</f>
        <v>300</v>
      </c>
      <c r="F35" s="9">
        <v>162.19999999999999</v>
      </c>
      <c r="G35" s="9">
        <v>0</v>
      </c>
      <c r="H35" s="21"/>
    </row>
    <row r="36" spans="1:8" ht="26.4" x14ac:dyDescent="0.25">
      <c r="A36" s="7" t="s">
        <v>158</v>
      </c>
      <c r="B36" s="8" t="s">
        <v>121</v>
      </c>
      <c r="C36" s="8" t="s">
        <v>3</v>
      </c>
      <c r="D36" s="8"/>
      <c r="E36" s="9">
        <f>E37</f>
        <v>200</v>
      </c>
      <c r="F36" s="9">
        <f>F37</f>
        <v>50</v>
      </c>
      <c r="G36" s="9">
        <f>G37</f>
        <v>0</v>
      </c>
      <c r="H36" s="21"/>
    </row>
    <row r="37" spans="1:8" x14ac:dyDescent="0.25">
      <c r="A37" s="7" t="s">
        <v>151</v>
      </c>
      <c r="B37" s="8" t="s">
        <v>121</v>
      </c>
      <c r="C37" s="8" t="s">
        <v>3</v>
      </c>
      <c r="D37" s="8" t="s">
        <v>93</v>
      </c>
      <c r="E37" s="9">
        <f>200</f>
        <v>200</v>
      </c>
      <c r="F37" s="9">
        <v>50</v>
      </c>
      <c r="G37" s="9">
        <v>0</v>
      </c>
      <c r="H37" s="21"/>
    </row>
    <row r="38" spans="1:8" ht="39.6" x14ac:dyDescent="0.25">
      <c r="A38" s="7" t="s">
        <v>336</v>
      </c>
      <c r="B38" s="8" t="s">
        <v>335</v>
      </c>
      <c r="C38" s="8"/>
      <c r="D38" s="8"/>
      <c r="E38" s="9">
        <f>E39</f>
        <v>50</v>
      </c>
      <c r="F38" s="9">
        <f t="shared" ref="F38:G38" si="14">F39</f>
        <v>50</v>
      </c>
      <c r="G38" s="9">
        <f t="shared" si="14"/>
        <v>0</v>
      </c>
      <c r="H38" s="21"/>
    </row>
    <row r="39" spans="1:8" ht="26.4" x14ac:dyDescent="0.25">
      <c r="A39" s="7" t="s">
        <v>118</v>
      </c>
      <c r="B39" s="8" t="s">
        <v>335</v>
      </c>
      <c r="C39" s="8" t="s">
        <v>0</v>
      </c>
      <c r="D39" s="8"/>
      <c r="E39" s="9">
        <f>E40</f>
        <v>50</v>
      </c>
      <c r="F39" s="9">
        <f t="shared" ref="F39" si="15">F40</f>
        <v>50</v>
      </c>
      <c r="G39" s="9">
        <f>G40</f>
        <v>0</v>
      </c>
      <c r="H39" s="21"/>
    </row>
    <row r="40" spans="1:8" x14ac:dyDescent="0.25">
      <c r="A40" s="7" t="s">
        <v>151</v>
      </c>
      <c r="B40" s="8" t="s">
        <v>335</v>
      </c>
      <c r="C40" s="8" t="s">
        <v>0</v>
      </c>
      <c r="D40" s="8" t="s">
        <v>93</v>
      </c>
      <c r="E40" s="9">
        <f>50</f>
        <v>50</v>
      </c>
      <c r="F40" s="9">
        <f>50</f>
        <v>50</v>
      </c>
      <c r="G40" s="9">
        <v>0</v>
      </c>
      <c r="H40" s="21"/>
    </row>
    <row r="41" spans="1:8" ht="39.6" x14ac:dyDescent="0.25">
      <c r="A41" s="7" t="s">
        <v>31</v>
      </c>
      <c r="B41" s="8" t="s">
        <v>32</v>
      </c>
      <c r="C41" s="8"/>
      <c r="D41" s="8"/>
      <c r="E41" s="9">
        <f>E42+E48+E51+E56+E59</f>
        <v>3469.1</v>
      </c>
      <c r="F41" s="9">
        <f t="shared" ref="F41:G41" si="16">F42+F48+F51+F56+F59</f>
        <v>7997.6</v>
      </c>
      <c r="G41" s="9">
        <f t="shared" si="16"/>
        <v>2537.6</v>
      </c>
      <c r="H41" s="21"/>
    </row>
    <row r="42" spans="1:8" ht="39.6" x14ac:dyDescent="0.25">
      <c r="A42" s="7" t="s">
        <v>122</v>
      </c>
      <c r="B42" s="8" t="s">
        <v>123</v>
      </c>
      <c r="C42" s="8"/>
      <c r="D42" s="8"/>
      <c r="E42" s="9">
        <f>E43+E46</f>
        <v>2254.1</v>
      </c>
      <c r="F42" s="9">
        <f t="shared" ref="F42:G42" si="17">F43+F46</f>
        <v>7397.6</v>
      </c>
      <c r="G42" s="9">
        <f t="shared" si="17"/>
        <v>1937.6</v>
      </c>
      <c r="H42" s="21"/>
    </row>
    <row r="43" spans="1:8" ht="26.4" x14ac:dyDescent="0.25">
      <c r="A43" s="7" t="s">
        <v>118</v>
      </c>
      <c r="B43" s="8" t="s">
        <v>123</v>
      </c>
      <c r="C43" s="8" t="s">
        <v>0</v>
      </c>
      <c r="D43" s="8"/>
      <c r="E43" s="9">
        <f>E44+E45</f>
        <v>1754.1</v>
      </c>
      <c r="F43" s="9">
        <f t="shared" ref="F43:G43" si="18">F44+F45</f>
        <v>6897.6</v>
      </c>
      <c r="G43" s="9">
        <f t="shared" si="18"/>
        <v>1437.6</v>
      </c>
      <c r="H43" s="21"/>
    </row>
    <row r="44" spans="1:8" x14ac:dyDescent="0.25">
      <c r="A44" s="7" t="s">
        <v>151</v>
      </c>
      <c r="B44" s="8" t="s">
        <v>123</v>
      </c>
      <c r="C44" s="8" t="s">
        <v>0</v>
      </c>
      <c r="D44" s="8" t="s">
        <v>93</v>
      </c>
      <c r="E44" s="9">
        <f>154.1</f>
        <v>154.1</v>
      </c>
      <c r="F44" s="9">
        <v>17.600000000000001</v>
      </c>
      <c r="G44" s="9">
        <v>17.600000000000001</v>
      </c>
      <c r="H44" s="21"/>
    </row>
    <row r="45" spans="1:8" ht="26.4" x14ac:dyDescent="0.25">
      <c r="A45" s="28" t="s">
        <v>354</v>
      </c>
      <c r="B45" s="29" t="s">
        <v>123</v>
      </c>
      <c r="C45" s="29" t="s">
        <v>0</v>
      </c>
      <c r="D45" s="29" t="s">
        <v>300</v>
      </c>
      <c r="E45" s="30">
        <f>1600</f>
        <v>1600</v>
      </c>
      <c r="F45" s="30">
        <f>6880</f>
        <v>6880</v>
      </c>
      <c r="G45" s="30">
        <v>1420</v>
      </c>
      <c r="H45" s="21"/>
    </row>
    <row r="46" spans="1:8" x14ac:dyDescent="0.25">
      <c r="A46" s="28" t="s">
        <v>152</v>
      </c>
      <c r="B46" s="29" t="s">
        <v>123</v>
      </c>
      <c r="C46" s="29" t="s">
        <v>1</v>
      </c>
      <c r="D46" s="29"/>
      <c r="E46" s="30">
        <f>E47</f>
        <v>500</v>
      </c>
      <c r="F46" s="30">
        <f t="shared" ref="F46:G46" si="19">F47</f>
        <v>500</v>
      </c>
      <c r="G46" s="30">
        <f t="shared" si="19"/>
        <v>500</v>
      </c>
      <c r="H46" s="21"/>
    </row>
    <row r="47" spans="1:8" x14ac:dyDescent="0.25">
      <c r="A47" s="28" t="s">
        <v>153</v>
      </c>
      <c r="B47" s="29" t="s">
        <v>123</v>
      </c>
      <c r="C47" s="29" t="s">
        <v>1</v>
      </c>
      <c r="D47" s="29" t="s">
        <v>124</v>
      </c>
      <c r="E47" s="30">
        <f>500</f>
        <v>500</v>
      </c>
      <c r="F47" s="30">
        <f>500</f>
        <v>500</v>
      </c>
      <c r="G47" s="30">
        <f>500</f>
        <v>500</v>
      </c>
      <c r="H47" s="21"/>
    </row>
    <row r="48" spans="1:8" ht="26.4" x14ac:dyDescent="0.25">
      <c r="A48" s="7" t="s">
        <v>125</v>
      </c>
      <c r="B48" s="8" t="s">
        <v>126</v>
      </c>
      <c r="C48" s="8"/>
      <c r="D48" s="8"/>
      <c r="E48" s="9">
        <f>E49</f>
        <v>150</v>
      </c>
      <c r="F48" s="9">
        <f t="shared" ref="F48:G48" si="20">F49</f>
        <v>150</v>
      </c>
      <c r="G48" s="9">
        <f t="shared" si="20"/>
        <v>150</v>
      </c>
      <c r="H48" s="21"/>
    </row>
    <row r="49" spans="1:8" ht="26.4" x14ac:dyDescent="0.25">
      <c r="A49" s="7" t="s">
        <v>118</v>
      </c>
      <c r="B49" s="8" t="s">
        <v>126</v>
      </c>
      <c r="C49" s="8" t="s">
        <v>0</v>
      </c>
      <c r="D49" s="8"/>
      <c r="E49" s="9">
        <f>E50</f>
        <v>150</v>
      </c>
      <c r="F49" s="9">
        <f t="shared" ref="F49:G49" si="21">F50</f>
        <v>150</v>
      </c>
      <c r="G49" s="9">
        <f t="shared" si="21"/>
        <v>150</v>
      </c>
      <c r="H49" s="21"/>
    </row>
    <row r="50" spans="1:8" x14ac:dyDescent="0.25">
      <c r="A50" s="7" t="s">
        <v>151</v>
      </c>
      <c r="B50" s="8" t="s">
        <v>126</v>
      </c>
      <c r="C50" s="8" t="s">
        <v>0</v>
      </c>
      <c r="D50" s="8" t="s">
        <v>93</v>
      </c>
      <c r="E50" s="9">
        <f>300-150</f>
        <v>150</v>
      </c>
      <c r="F50" s="9">
        <v>150</v>
      </c>
      <c r="G50" s="9">
        <v>150</v>
      </c>
      <c r="H50" s="21"/>
    </row>
    <row r="51" spans="1:8" ht="31.5" customHeight="1" x14ac:dyDescent="0.25">
      <c r="A51" s="7" t="s">
        <v>127</v>
      </c>
      <c r="B51" s="8" t="s">
        <v>128</v>
      </c>
      <c r="C51" s="8"/>
      <c r="D51" s="8"/>
      <c r="E51" s="9">
        <f>E52+E54</f>
        <v>810</v>
      </c>
      <c r="F51" s="9">
        <f t="shared" ref="F51:G51" si="22">F52+F54</f>
        <v>340</v>
      </c>
      <c r="G51" s="9">
        <f t="shared" si="22"/>
        <v>340</v>
      </c>
      <c r="H51" s="21"/>
    </row>
    <row r="52" spans="1:8" ht="52.8" x14ac:dyDescent="0.25">
      <c r="A52" s="7" t="s">
        <v>117</v>
      </c>
      <c r="B52" s="8" t="s">
        <v>128</v>
      </c>
      <c r="C52" s="8" t="s">
        <v>4</v>
      </c>
      <c r="D52" s="8"/>
      <c r="E52" s="9">
        <f>E53</f>
        <v>590</v>
      </c>
      <c r="F52" s="9">
        <f t="shared" ref="F52:G52" si="23">F53</f>
        <v>300</v>
      </c>
      <c r="G52" s="9">
        <f t="shared" si="23"/>
        <v>300</v>
      </c>
      <c r="H52" s="21"/>
    </row>
    <row r="53" spans="1:8" x14ac:dyDescent="0.25">
      <c r="A53" s="7" t="s">
        <v>151</v>
      </c>
      <c r="B53" s="8" t="s">
        <v>128</v>
      </c>
      <c r="C53" s="8" t="s">
        <v>4</v>
      </c>
      <c r="D53" s="8" t="s">
        <v>93</v>
      </c>
      <c r="E53" s="9">
        <f>590</f>
        <v>590</v>
      </c>
      <c r="F53" s="9">
        <v>300</v>
      </c>
      <c r="G53" s="9">
        <v>300</v>
      </c>
      <c r="H53" s="21"/>
    </row>
    <row r="54" spans="1:8" ht="26.4" x14ac:dyDescent="0.25">
      <c r="A54" s="7" t="s">
        <v>118</v>
      </c>
      <c r="B54" s="8" t="s">
        <v>128</v>
      </c>
      <c r="C54" s="8" t="s">
        <v>0</v>
      </c>
      <c r="D54" s="8"/>
      <c r="E54" s="9">
        <f>E55</f>
        <v>220</v>
      </c>
      <c r="F54" s="9">
        <f t="shared" ref="F54:G54" si="24">F55</f>
        <v>40</v>
      </c>
      <c r="G54" s="9">
        <f t="shared" si="24"/>
        <v>40</v>
      </c>
      <c r="H54" s="21"/>
    </row>
    <row r="55" spans="1:8" ht="13.5" customHeight="1" x14ac:dyDescent="0.25">
      <c r="A55" s="7" t="s">
        <v>151</v>
      </c>
      <c r="B55" s="8" t="s">
        <v>128</v>
      </c>
      <c r="C55" s="8" t="s">
        <v>0</v>
      </c>
      <c r="D55" s="8" t="s">
        <v>93</v>
      </c>
      <c r="E55" s="9">
        <f>220</f>
        <v>220</v>
      </c>
      <c r="F55" s="9">
        <v>40</v>
      </c>
      <c r="G55" s="9">
        <v>40</v>
      </c>
      <c r="H55" s="21"/>
    </row>
    <row r="56" spans="1:8" ht="31.2" customHeight="1" x14ac:dyDescent="0.25">
      <c r="A56" s="7" t="s">
        <v>449</v>
      </c>
      <c r="B56" s="8" t="s">
        <v>448</v>
      </c>
      <c r="C56" s="8"/>
      <c r="D56" s="8"/>
      <c r="E56" s="9">
        <f>E57</f>
        <v>145</v>
      </c>
      <c r="F56" s="9">
        <f t="shared" ref="F56:G56" si="25">F57</f>
        <v>0</v>
      </c>
      <c r="G56" s="9">
        <f t="shared" si="25"/>
        <v>0</v>
      </c>
      <c r="H56" s="21"/>
    </row>
    <row r="57" spans="1:8" ht="28.95" customHeight="1" x14ac:dyDescent="0.25">
      <c r="A57" s="7" t="s">
        <v>118</v>
      </c>
      <c r="B57" s="8" t="s">
        <v>448</v>
      </c>
      <c r="C57" s="8" t="s">
        <v>0</v>
      </c>
      <c r="D57" s="8"/>
      <c r="E57" s="9">
        <f>E58</f>
        <v>145</v>
      </c>
      <c r="F57" s="9">
        <f t="shared" ref="F57:G57" si="26">F58</f>
        <v>0</v>
      </c>
      <c r="G57" s="9">
        <f t="shared" si="26"/>
        <v>0</v>
      </c>
      <c r="H57" s="21"/>
    </row>
    <row r="58" spans="1:8" ht="13.5" customHeight="1" x14ac:dyDescent="0.25">
      <c r="A58" s="7" t="s">
        <v>151</v>
      </c>
      <c r="B58" s="8" t="s">
        <v>448</v>
      </c>
      <c r="C58" s="8" t="s">
        <v>0</v>
      </c>
      <c r="D58" s="8" t="s">
        <v>93</v>
      </c>
      <c r="E58" s="9">
        <f>145</f>
        <v>145</v>
      </c>
      <c r="F58" s="9">
        <f>0</f>
        <v>0</v>
      </c>
      <c r="G58" s="9">
        <f>0</f>
        <v>0</v>
      </c>
      <c r="H58" s="21"/>
    </row>
    <row r="59" spans="1:8" ht="26.4" x14ac:dyDescent="0.25">
      <c r="A59" s="7" t="s">
        <v>129</v>
      </c>
      <c r="B59" s="8" t="s">
        <v>130</v>
      </c>
      <c r="C59" s="8"/>
      <c r="D59" s="8"/>
      <c r="E59" s="9">
        <f>E60</f>
        <v>110</v>
      </c>
      <c r="F59" s="9">
        <f t="shared" ref="F59:G59" si="27">F60</f>
        <v>110</v>
      </c>
      <c r="G59" s="9">
        <f t="shared" si="27"/>
        <v>110</v>
      </c>
      <c r="H59" s="21"/>
    </row>
    <row r="60" spans="1:8" ht="26.4" x14ac:dyDescent="0.25">
      <c r="A60" s="7" t="s">
        <v>118</v>
      </c>
      <c r="B60" s="8" t="s">
        <v>130</v>
      </c>
      <c r="C60" s="8" t="s">
        <v>0</v>
      </c>
      <c r="D60" s="8"/>
      <c r="E60" s="9">
        <f>E61</f>
        <v>110</v>
      </c>
      <c r="F60" s="9">
        <f t="shared" ref="F60:G60" si="28">F61</f>
        <v>110</v>
      </c>
      <c r="G60" s="9">
        <f t="shared" si="28"/>
        <v>110</v>
      </c>
      <c r="H60" s="21"/>
    </row>
    <row r="61" spans="1:8" x14ac:dyDescent="0.25">
      <c r="A61" s="7" t="s">
        <v>154</v>
      </c>
      <c r="B61" s="8" t="s">
        <v>130</v>
      </c>
      <c r="C61" s="8" t="s">
        <v>0</v>
      </c>
      <c r="D61" s="8" t="s">
        <v>131</v>
      </c>
      <c r="E61" s="9">
        <v>110</v>
      </c>
      <c r="F61" s="9">
        <v>110</v>
      </c>
      <c r="G61" s="9">
        <v>110</v>
      </c>
      <c r="H61" s="21"/>
    </row>
    <row r="62" spans="1:8" ht="26.4" x14ac:dyDescent="0.25">
      <c r="A62" s="7" t="s">
        <v>9</v>
      </c>
      <c r="B62" s="8" t="s">
        <v>33</v>
      </c>
      <c r="C62" s="8"/>
      <c r="D62" s="8"/>
      <c r="E62" s="9">
        <f>E63+E73+E117+E131+E232</f>
        <v>2051288.2000000002</v>
      </c>
      <c r="F62" s="9">
        <f>F63+F73+F117+F131+F232</f>
        <v>1555822.5</v>
      </c>
      <c r="G62" s="9">
        <f>G63+G73+G117+G131+G232</f>
        <v>1419557</v>
      </c>
      <c r="H62" s="21"/>
    </row>
    <row r="63" spans="1:8" ht="16.5" customHeight="1" x14ac:dyDescent="0.25">
      <c r="A63" s="7" t="s">
        <v>132</v>
      </c>
      <c r="B63" s="8" t="s">
        <v>133</v>
      </c>
      <c r="C63" s="8"/>
      <c r="D63" s="8"/>
      <c r="E63" s="9">
        <f>E64+E69</f>
        <v>195323.5</v>
      </c>
      <c r="F63" s="9">
        <f>F64+F69</f>
        <v>0</v>
      </c>
      <c r="G63" s="9">
        <f>G64+G69</f>
        <v>0</v>
      </c>
      <c r="H63" s="21"/>
    </row>
    <row r="64" spans="1:8" ht="39.6" x14ac:dyDescent="0.25">
      <c r="A64" s="7" t="s">
        <v>360</v>
      </c>
      <c r="B64" s="8" t="s">
        <v>134</v>
      </c>
      <c r="C64" s="8"/>
      <c r="D64" s="8"/>
      <c r="E64" s="9">
        <f>E65+E67</f>
        <v>5030</v>
      </c>
      <c r="F64" s="9">
        <f t="shared" ref="F64:G64" si="29">F65+F67</f>
        <v>0</v>
      </c>
      <c r="G64" s="9">
        <f t="shared" si="29"/>
        <v>0</v>
      </c>
      <c r="H64" s="21"/>
    </row>
    <row r="65" spans="1:8" ht="26.4" x14ac:dyDescent="0.25">
      <c r="A65" s="7" t="s">
        <v>118</v>
      </c>
      <c r="B65" s="8" t="s">
        <v>134</v>
      </c>
      <c r="C65" s="8" t="s">
        <v>0</v>
      </c>
      <c r="D65" s="8"/>
      <c r="E65" s="9">
        <f>E66</f>
        <v>30</v>
      </c>
      <c r="F65" s="9">
        <f t="shared" ref="F65:G65" si="30">F66</f>
        <v>0</v>
      </c>
      <c r="G65" s="9">
        <f t="shared" si="30"/>
        <v>0</v>
      </c>
      <c r="H65" s="21"/>
    </row>
    <row r="66" spans="1:8" x14ac:dyDescent="0.25">
      <c r="A66" s="7" t="s">
        <v>156</v>
      </c>
      <c r="B66" s="8" t="s">
        <v>134</v>
      </c>
      <c r="C66" s="8" t="s">
        <v>0</v>
      </c>
      <c r="D66" s="8" t="s">
        <v>35</v>
      </c>
      <c r="E66" s="9">
        <f>30</f>
        <v>30</v>
      </c>
      <c r="F66" s="9">
        <f>0</f>
        <v>0</v>
      </c>
      <c r="G66" s="9">
        <f>0</f>
        <v>0</v>
      </c>
      <c r="H66" s="21"/>
    </row>
    <row r="67" spans="1:8" ht="26.4" x14ac:dyDescent="0.25">
      <c r="A67" s="7" t="s">
        <v>157</v>
      </c>
      <c r="B67" s="8" t="s">
        <v>134</v>
      </c>
      <c r="C67" s="8" t="s">
        <v>8</v>
      </c>
      <c r="D67" s="8"/>
      <c r="E67" s="9">
        <f>E68</f>
        <v>5000</v>
      </c>
      <c r="F67" s="9">
        <f>F68</f>
        <v>0</v>
      </c>
      <c r="G67" s="9">
        <f>G68</f>
        <v>0</v>
      </c>
      <c r="H67" s="21"/>
    </row>
    <row r="68" spans="1:8" x14ac:dyDescent="0.25">
      <c r="A68" s="7" t="s">
        <v>155</v>
      </c>
      <c r="B68" s="8" t="s">
        <v>134</v>
      </c>
      <c r="C68" s="8" t="s">
        <v>8</v>
      </c>
      <c r="D68" s="8" t="s">
        <v>37</v>
      </c>
      <c r="E68" s="9">
        <v>5000</v>
      </c>
      <c r="F68" s="9">
        <v>0</v>
      </c>
      <c r="G68" s="9">
        <v>0</v>
      </c>
      <c r="H68" s="21"/>
    </row>
    <row r="69" spans="1:8" ht="26.4" x14ac:dyDescent="0.25">
      <c r="A69" s="7" t="s">
        <v>293</v>
      </c>
      <c r="B69" s="8" t="s">
        <v>292</v>
      </c>
      <c r="C69" s="8"/>
      <c r="D69" s="8"/>
      <c r="E69" s="9">
        <f>E71</f>
        <v>190293.5</v>
      </c>
      <c r="F69" s="9">
        <f t="shared" ref="F69:G69" si="31">F71</f>
        <v>0</v>
      </c>
      <c r="G69" s="9">
        <f t="shared" si="31"/>
        <v>0</v>
      </c>
      <c r="H69" s="21"/>
    </row>
    <row r="70" spans="1:8" ht="39.6" x14ac:dyDescent="0.25">
      <c r="A70" s="7" t="s">
        <v>362</v>
      </c>
      <c r="B70" s="8" t="s">
        <v>361</v>
      </c>
      <c r="C70" s="8"/>
      <c r="D70" s="8"/>
      <c r="E70" s="9">
        <f>E71</f>
        <v>190293.5</v>
      </c>
      <c r="F70" s="9">
        <f t="shared" ref="F70:G70" si="32">F71</f>
        <v>0</v>
      </c>
      <c r="G70" s="9">
        <f t="shared" si="32"/>
        <v>0</v>
      </c>
      <c r="H70" s="21"/>
    </row>
    <row r="71" spans="1:8" ht="26.4" x14ac:dyDescent="0.25">
      <c r="A71" s="7" t="s">
        <v>157</v>
      </c>
      <c r="B71" s="8" t="s">
        <v>361</v>
      </c>
      <c r="C71" s="8" t="s">
        <v>8</v>
      </c>
      <c r="D71" s="8"/>
      <c r="E71" s="9">
        <f>E72</f>
        <v>190293.5</v>
      </c>
      <c r="F71" s="9">
        <f t="shared" ref="F71:G71" si="33">F72</f>
        <v>0</v>
      </c>
      <c r="G71" s="9">
        <f t="shared" si="33"/>
        <v>0</v>
      </c>
      <c r="H71" s="21"/>
    </row>
    <row r="72" spans="1:8" x14ac:dyDescent="0.25">
      <c r="A72" s="7" t="s">
        <v>155</v>
      </c>
      <c r="B72" s="8" t="s">
        <v>361</v>
      </c>
      <c r="C72" s="8" t="s">
        <v>8</v>
      </c>
      <c r="D72" s="8" t="s">
        <v>37</v>
      </c>
      <c r="E72" s="9">
        <v>190293.5</v>
      </c>
      <c r="F72" s="9">
        <v>0</v>
      </c>
      <c r="G72" s="9">
        <v>0</v>
      </c>
      <c r="H72" s="21"/>
    </row>
    <row r="73" spans="1:8" ht="26.4" x14ac:dyDescent="0.25">
      <c r="A73" s="7" t="s">
        <v>10</v>
      </c>
      <c r="B73" s="8" t="s">
        <v>34</v>
      </c>
      <c r="C73" s="8"/>
      <c r="D73" s="8"/>
      <c r="E73" s="9">
        <f>E74+E93+E107+E86</f>
        <v>225530.4</v>
      </c>
      <c r="F73" s="9">
        <f>F74+F93+F107</f>
        <v>157533.9</v>
      </c>
      <c r="G73" s="9">
        <f>G74+G93+G107</f>
        <v>9152.8000000000011</v>
      </c>
      <c r="H73" s="21"/>
    </row>
    <row r="74" spans="1:8" ht="26.4" x14ac:dyDescent="0.25">
      <c r="A74" s="7" t="s">
        <v>384</v>
      </c>
      <c r="B74" s="8" t="s">
        <v>36</v>
      </c>
      <c r="C74" s="8"/>
      <c r="D74" s="8"/>
      <c r="E74" s="9">
        <f>E77+E79+E75+E83</f>
        <v>184518.39999999999</v>
      </c>
      <c r="F74" s="9">
        <f t="shared" ref="F74:G74" si="34">F77+F79+F75+F83</f>
        <v>148381.1</v>
      </c>
      <c r="G74" s="9">
        <f t="shared" si="34"/>
        <v>0</v>
      </c>
      <c r="H74" s="21"/>
    </row>
    <row r="75" spans="1:8" ht="26.4" x14ac:dyDescent="0.25">
      <c r="A75" s="7" t="s">
        <v>118</v>
      </c>
      <c r="B75" s="8" t="s">
        <v>36</v>
      </c>
      <c r="C75" s="8" t="s">
        <v>0</v>
      </c>
      <c r="D75" s="8"/>
      <c r="E75" s="9">
        <f>E76</f>
        <v>1820.6</v>
      </c>
      <c r="F75" s="9">
        <f t="shared" ref="F75:G75" si="35">F76</f>
        <v>0</v>
      </c>
      <c r="G75" s="9">
        <f t="shared" si="35"/>
        <v>0</v>
      </c>
      <c r="H75" s="21"/>
    </row>
    <row r="76" spans="1:8" ht="15.6" customHeight="1" x14ac:dyDescent="0.25">
      <c r="A76" s="7" t="s">
        <v>155</v>
      </c>
      <c r="B76" s="8" t="s">
        <v>36</v>
      </c>
      <c r="C76" s="8" t="s">
        <v>0</v>
      </c>
      <c r="D76" s="8" t="s">
        <v>37</v>
      </c>
      <c r="E76" s="9">
        <f>1820.6</f>
        <v>1820.6</v>
      </c>
      <c r="F76" s="9">
        <v>0</v>
      </c>
      <c r="G76" s="9">
        <v>0</v>
      </c>
      <c r="H76" s="21"/>
    </row>
    <row r="77" spans="1:8" ht="26.4" x14ac:dyDescent="0.25">
      <c r="A77" s="7" t="s">
        <v>118</v>
      </c>
      <c r="B77" s="8" t="s">
        <v>36</v>
      </c>
      <c r="C77" s="8" t="s">
        <v>0</v>
      </c>
      <c r="D77" s="8"/>
      <c r="E77" s="9">
        <f>E78</f>
        <v>1898.5</v>
      </c>
      <c r="F77" s="9">
        <f t="shared" ref="F77:G77" si="36">F78</f>
        <v>0</v>
      </c>
      <c r="G77" s="9">
        <f t="shared" si="36"/>
        <v>0</v>
      </c>
      <c r="H77" s="21"/>
    </row>
    <row r="78" spans="1:8" ht="12" customHeight="1" x14ac:dyDescent="0.25">
      <c r="A78" s="7" t="s">
        <v>156</v>
      </c>
      <c r="B78" s="8" t="s">
        <v>36</v>
      </c>
      <c r="C78" s="8" t="s">
        <v>0</v>
      </c>
      <c r="D78" s="8" t="s">
        <v>35</v>
      </c>
      <c r="E78" s="9">
        <f>1898.5</f>
        <v>1898.5</v>
      </c>
      <c r="F78" s="9">
        <v>0</v>
      </c>
      <c r="G78" s="9">
        <v>0</v>
      </c>
      <c r="H78" s="21"/>
    </row>
    <row r="79" spans="1:8" ht="27.75" customHeight="1" x14ac:dyDescent="0.25">
      <c r="A79" s="7" t="s">
        <v>358</v>
      </c>
      <c r="B79" s="8" t="s">
        <v>357</v>
      </c>
      <c r="C79" s="8"/>
      <c r="D79" s="8"/>
      <c r="E79" s="9">
        <f>E80</f>
        <v>180799.3</v>
      </c>
      <c r="F79" s="9">
        <f t="shared" ref="F79:G79" si="37">F80</f>
        <v>0</v>
      </c>
      <c r="G79" s="9">
        <f t="shared" si="37"/>
        <v>0</v>
      </c>
      <c r="H79" s="21"/>
    </row>
    <row r="80" spans="1:8" ht="26.4" x14ac:dyDescent="0.25">
      <c r="A80" s="7" t="s">
        <v>118</v>
      </c>
      <c r="B80" s="8" t="s">
        <v>357</v>
      </c>
      <c r="C80" s="8" t="s">
        <v>0</v>
      </c>
      <c r="D80" s="8"/>
      <c r="E80" s="9">
        <f>E81+E82</f>
        <v>180799.3</v>
      </c>
      <c r="F80" s="9">
        <f>F81+F82</f>
        <v>0</v>
      </c>
      <c r="G80" s="9">
        <f>G81+G82</f>
        <v>0</v>
      </c>
      <c r="H80" s="21"/>
    </row>
    <row r="81" spans="1:8" ht="15" customHeight="1" x14ac:dyDescent="0.25">
      <c r="A81" s="7" t="s">
        <v>155</v>
      </c>
      <c r="B81" s="8" t="s">
        <v>357</v>
      </c>
      <c r="C81" s="8" t="s">
        <v>0</v>
      </c>
      <c r="D81" s="8" t="s">
        <v>37</v>
      </c>
      <c r="E81" s="9">
        <v>22058.5</v>
      </c>
      <c r="F81" s="9">
        <v>0</v>
      </c>
      <c r="G81" s="9">
        <f>0</f>
        <v>0</v>
      </c>
      <c r="H81" s="21"/>
    </row>
    <row r="82" spans="1:8" x14ac:dyDescent="0.25">
      <c r="A82" s="7" t="s">
        <v>156</v>
      </c>
      <c r="B82" s="8" t="s">
        <v>357</v>
      </c>
      <c r="C82" s="8" t="s">
        <v>0</v>
      </c>
      <c r="D82" s="8" t="s">
        <v>35</v>
      </c>
      <c r="E82" s="9">
        <v>158740.79999999999</v>
      </c>
      <c r="F82" s="9">
        <f>148381.1-148381.1</f>
        <v>0</v>
      </c>
      <c r="G82" s="9">
        <f>0</f>
        <v>0</v>
      </c>
      <c r="H82" s="21"/>
    </row>
    <row r="83" spans="1:8" ht="28.2" customHeight="1" x14ac:dyDescent="0.25">
      <c r="A83" s="7" t="s">
        <v>437</v>
      </c>
      <c r="B83" s="8" t="s">
        <v>436</v>
      </c>
      <c r="C83" s="8"/>
      <c r="D83" s="8"/>
      <c r="E83" s="9">
        <f>E84</f>
        <v>0</v>
      </c>
      <c r="F83" s="9">
        <f t="shared" ref="F83:G83" si="38">F84</f>
        <v>148381.1</v>
      </c>
      <c r="G83" s="9">
        <f t="shared" si="38"/>
        <v>0</v>
      </c>
      <c r="H83" s="21"/>
    </row>
    <row r="84" spans="1:8" ht="26.4" x14ac:dyDescent="0.25">
      <c r="A84" s="7" t="s">
        <v>118</v>
      </c>
      <c r="B84" s="8" t="s">
        <v>436</v>
      </c>
      <c r="C84" s="8" t="s">
        <v>0</v>
      </c>
      <c r="D84" s="8"/>
      <c r="E84" s="9">
        <f>E85</f>
        <v>0</v>
      </c>
      <c r="F84" s="9">
        <f t="shared" ref="F84:G84" si="39">F85</f>
        <v>148381.1</v>
      </c>
      <c r="G84" s="9">
        <f t="shared" si="39"/>
        <v>0</v>
      </c>
      <c r="H84" s="21"/>
    </row>
    <row r="85" spans="1:8" ht="15" customHeight="1" x14ac:dyDescent="0.25">
      <c r="A85" s="7" t="s">
        <v>156</v>
      </c>
      <c r="B85" s="8" t="s">
        <v>436</v>
      </c>
      <c r="C85" s="8" t="s">
        <v>0</v>
      </c>
      <c r="D85" s="8" t="s">
        <v>35</v>
      </c>
      <c r="E85" s="9">
        <f>0</f>
        <v>0</v>
      </c>
      <c r="F85" s="9">
        <f>148381.1</f>
        <v>148381.1</v>
      </c>
      <c r="G85" s="9">
        <f>0</f>
        <v>0</v>
      </c>
      <c r="H85" s="21"/>
    </row>
    <row r="86" spans="1:8" ht="26.4" x14ac:dyDescent="0.25">
      <c r="A86" s="7" t="s">
        <v>364</v>
      </c>
      <c r="B86" s="8" t="s">
        <v>363</v>
      </c>
      <c r="C86" s="8"/>
      <c r="D86" s="8"/>
      <c r="E86" s="9">
        <f>E87+E91</f>
        <v>6419.7</v>
      </c>
      <c r="F86" s="9">
        <f t="shared" ref="F86:G86" si="40">F87+F91</f>
        <v>0</v>
      </c>
      <c r="G86" s="9">
        <f t="shared" si="40"/>
        <v>0</v>
      </c>
      <c r="H86" s="21"/>
    </row>
    <row r="87" spans="1:8" ht="26.4" x14ac:dyDescent="0.25">
      <c r="A87" s="7" t="s">
        <v>118</v>
      </c>
      <c r="B87" s="8" t="s">
        <v>363</v>
      </c>
      <c r="C87" s="8" t="s">
        <v>0</v>
      </c>
      <c r="D87" s="8"/>
      <c r="E87" s="9">
        <f>E88+E89+E90</f>
        <v>6075.3</v>
      </c>
      <c r="F87" s="9">
        <f t="shared" ref="F87:G87" si="41">F88+F89+F90</f>
        <v>0</v>
      </c>
      <c r="G87" s="9">
        <f t="shared" si="41"/>
        <v>0</v>
      </c>
      <c r="H87" s="21"/>
    </row>
    <row r="88" spans="1:8" ht="15" customHeight="1" x14ac:dyDescent="0.25">
      <c r="A88" s="7" t="s">
        <v>155</v>
      </c>
      <c r="B88" s="8" t="s">
        <v>363</v>
      </c>
      <c r="C88" s="8" t="s">
        <v>0</v>
      </c>
      <c r="D88" s="8" t="s">
        <v>37</v>
      </c>
      <c r="E88" s="9">
        <f>1889.3</f>
        <v>1889.3</v>
      </c>
      <c r="F88" s="9">
        <v>0</v>
      </c>
      <c r="G88" s="9">
        <v>0</v>
      </c>
      <c r="H88" s="21"/>
    </row>
    <row r="89" spans="1:8" ht="15" customHeight="1" x14ac:dyDescent="0.25">
      <c r="A89" s="7" t="s">
        <v>156</v>
      </c>
      <c r="B89" s="8" t="s">
        <v>363</v>
      </c>
      <c r="C89" s="8" t="s">
        <v>0</v>
      </c>
      <c r="D89" s="8" t="s">
        <v>35</v>
      </c>
      <c r="E89" s="9">
        <f>3781.7</f>
        <v>3781.7</v>
      </c>
      <c r="F89" s="9">
        <f>0</f>
        <v>0</v>
      </c>
      <c r="G89" s="9">
        <f>0</f>
        <v>0</v>
      </c>
      <c r="H89" s="21"/>
    </row>
    <row r="90" spans="1:8" ht="15" customHeight="1" x14ac:dyDescent="0.25">
      <c r="A90" s="7" t="s">
        <v>160</v>
      </c>
      <c r="B90" s="8" t="s">
        <v>363</v>
      </c>
      <c r="C90" s="8" t="s">
        <v>0</v>
      </c>
      <c r="D90" s="8" t="s">
        <v>40</v>
      </c>
      <c r="E90" s="9">
        <f>404.3</f>
        <v>404.3</v>
      </c>
      <c r="F90" s="9">
        <f>0</f>
        <v>0</v>
      </c>
      <c r="G90" s="9">
        <f>0</f>
        <v>0</v>
      </c>
      <c r="H90" s="21"/>
    </row>
    <row r="91" spans="1:8" ht="29.4" customHeight="1" x14ac:dyDescent="0.25">
      <c r="A91" s="7" t="s">
        <v>158</v>
      </c>
      <c r="B91" s="8" t="s">
        <v>363</v>
      </c>
      <c r="C91" s="8" t="s">
        <v>3</v>
      </c>
      <c r="D91" s="8"/>
      <c r="E91" s="9">
        <f>E92</f>
        <v>344.4</v>
      </c>
      <c r="F91" s="9">
        <f t="shared" ref="F91:G91" si="42">F92</f>
        <v>0</v>
      </c>
      <c r="G91" s="9">
        <f t="shared" si="42"/>
        <v>0</v>
      </c>
      <c r="H91" s="21"/>
    </row>
    <row r="92" spans="1:8" ht="15" customHeight="1" x14ac:dyDescent="0.25">
      <c r="A92" s="7" t="s">
        <v>159</v>
      </c>
      <c r="B92" s="8" t="s">
        <v>363</v>
      </c>
      <c r="C92" s="8" t="s">
        <v>3</v>
      </c>
      <c r="D92" s="8" t="s">
        <v>38</v>
      </c>
      <c r="E92" s="9">
        <f>344.4</f>
        <v>344.4</v>
      </c>
      <c r="F92" s="9">
        <f>0</f>
        <v>0</v>
      </c>
      <c r="G92" s="9">
        <f>0</f>
        <v>0</v>
      </c>
      <c r="H92" s="21"/>
    </row>
    <row r="93" spans="1:8" ht="41.4" customHeight="1" x14ac:dyDescent="0.25">
      <c r="A93" s="7" t="s">
        <v>385</v>
      </c>
      <c r="B93" s="8" t="s">
        <v>39</v>
      </c>
      <c r="C93" s="8"/>
      <c r="D93" s="8"/>
      <c r="E93" s="9">
        <f>E94+E98+E100+E103</f>
        <v>28065.899999999998</v>
      </c>
      <c r="F93" s="9">
        <f>F94+F98+F100+F103</f>
        <v>7056.0000000000009</v>
      </c>
      <c r="G93" s="9">
        <f>G94+G98+G100+G103</f>
        <v>7056.0000000000009</v>
      </c>
      <c r="H93" s="21"/>
    </row>
    <row r="94" spans="1:8" ht="30.6" customHeight="1" x14ac:dyDescent="0.25">
      <c r="A94" s="7" t="s">
        <v>118</v>
      </c>
      <c r="B94" s="8" t="s">
        <v>39</v>
      </c>
      <c r="C94" s="8" t="s">
        <v>0</v>
      </c>
      <c r="D94" s="8"/>
      <c r="E94" s="9">
        <f>E95+E96+E97</f>
        <v>22077</v>
      </c>
      <c r="F94" s="9">
        <f t="shared" ref="F94:G94" si="43">F95+F96+F97</f>
        <v>6529.0000000000009</v>
      </c>
      <c r="G94" s="9">
        <f t="shared" si="43"/>
        <v>6529.0000000000009</v>
      </c>
      <c r="H94" s="21"/>
    </row>
    <row r="95" spans="1:8" ht="15.6" customHeight="1" x14ac:dyDescent="0.25">
      <c r="A95" s="7" t="s">
        <v>155</v>
      </c>
      <c r="B95" s="8" t="s">
        <v>39</v>
      </c>
      <c r="C95" s="8" t="s">
        <v>0</v>
      </c>
      <c r="D95" s="8" t="s">
        <v>37</v>
      </c>
      <c r="E95" s="9">
        <f>4028.5</f>
        <v>4028.5</v>
      </c>
      <c r="F95" s="9">
        <v>708.6</v>
      </c>
      <c r="G95" s="9">
        <v>708.6</v>
      </c>
      <c r="H95" s="21"/>
    </row>
    <row r="96" spans="1:8" ht="15.6" customHeight="1" x14ac:dyDescent="0.25">
      <c r="A96" s="7" t="s">
        <v>156</v>
      </c>
      <c r="B96" s="8" t="s">
        <v>39</v>
      </c>
      <c r="C96" s="8" t="s">
        <v>0</v>
      </c>
      <c r="D96" s="8" t="s">
        <v>35</v>
      </c>
      <c r="E96" s="9">
        <f>16131.3+0.1</f>
        <v>16131.4</v>
      </c>
      <c r="F96" s="9">
        <v>5179.3</v>
      </c>
      <c r="G96" s="9">
        <v>5179.3</v>
      </c>
      <c r="H96" s="21"/>
    </row>
    <row r="97" spans="1:8" ht="15" customHeight="1" x14ac:dyDescent="0.25">
      <c r="A97" s="7" t="s">
        <v>160</v>
      </c>
      <c r="B97" s="8" t="s">
        <v>39</v>
      </c>
      <c r="C97" s="8" t="s">
        <v>0</v>
      </c>
      <c r="D97" s="8" t="s">
        <v>40</v>
      </c>
      <c r="E97" s="9">
        <f>1917.1</f>
        <v>1917.1</v>
      </c>
      <c r="F97" s="9">
        <v>641.1</v>
      </c>
      <c r="G97" s="9">
        <v>641.1</v>
      </c>
      <c r="H97" s="21"/>
    </row>
    <row r="98" spans="1:8" ht="26.4" x14ac:dyDescent="0.25">
      <c r="A98" s="7" t="s">
        <v>158</v>
      </c>
      <c r="B98" s="8" t="s">
        <v>39</v>
      </c>
      <c r="C98" s="8" t="s">
        <v>3</v>
      </c>
      <c r="D98" s="8"/>
      <c r="E98" s="9">
        <f>E99</f>
        <v>1213.8</v>
      </c>
      <c r="F98" s="9">
        <f t="shared" ref="F98:G98" si="44">F99</f>
        <v>494</v>
      </c>
      <c r="G98" s="9">
        <f t="shared" si="44"/>
        <v>494</v>
      </c>
      <c r="H98" s="21"/>
    </row>
    <row r="99" spans="1:8" x14ac:dyDescent="0.25">
      <c r="A99" s="7" t="s">
        <v>159</v>
      </c>
      <c r="B99" s="8" t="s">
        <v>39</v>
      </c>
      <c r="C99" s="8" t="s">
        <v>3</v>
      </c>
      <c r="D99" s="8" t="s">
        <v>38</v>
      </c>
      <c r="E99" s="9">
        <f>1213.8</f>
        <v>1213.8</v>
      </c>
      <c r="F99" s="9">
        <v>494</v>
      </c>
      <c r="G99" s="9">
        <v>494</v>
      </c>
      <c r="H99" s="21"/>
    </row>
    <row r="100" spans="1:8" x14ac:dyDescent="0.25">
      <c r="A100" s="7" t="s">
        <v>152</v>
      </c>
      <c r="B100" s="8" t="s">
        <v>39</v>
      </c>
      <c r="C100" s="8" t="s">
        <v>1</v>
      </c>
      <c r="D100" s="8"/>
      <c r="E100" s="9">
        <f>E101+E102</f>
        <v>35.1</v>
      </c>
      <c r="F100" s="9">
        <f t="shared" ref="F100:G100" si="45">F101+F102</f>
        <v>33</v>
      </c>
      <c r="G100" s="9">
        <f t="shared" si="45"/>
        <v>33</v>
      </c>
      <c r="H100" s="21"/>
    </row>
    <row r="101" spans="1:8" x14ac:dyDescent="0.25">
      <c r="A101" s="7" t="s">
        <v>156</v>
      </c>
      <c r="B101" s="8" t="s">
        <v>39</v>
      </c>
      <c r="C101" s="8" t="s">
        <v>1</v>
      </c>
      <c r="D101" s="8" t="s">
        <v>35</v>
      </c>
      <c r="E101" s="9">
        <f>23.1</f>
        <v>23.1</v>
      </c>
      <c r="F101" s="9">
        <v>21</v>
      </c>
      <c r="G101" s="9">
        <v>21</v>
      </c>
      <c r="H101" s="21"/>
    </row>
    <row r="102" spans="1:8" x14ac:dyDescent="0.25">
      <c r="A102" s="7" t="s">
        <v>160</v>
      </c>
      <c r="B102" s="8" t="s">
        <v>39</v>
      </c>
      <c r="C102" s="8" t="s">
        <v>1</v>
      </c>
      <c r="D102" s="8" t="s">
        <v>40</v>
      </c>
      <c r="E102" s="9">
        <v>12</v>
      </c>
      <c r="F102" s="9">
        <v>12</v>
      </c>
      <c r="G102" s="9">
        <v>12</v>
      </c>
      <c r="H102" s="21"/>
    </row>
    <row r="103" spans="1:8" ht="39.6" x14ac:dyDescent="0.25">
      <c r="A103" s="7" t="s">
        <v>302</v>
      </c>
      <c r="B103" s="8" t="s">
        <v>301</v>
      </c>
      <c r="C103" s="8"/>
      <c r="D103" s="8"/>
      <c r="E103" s="9">
        <f>E104</f>
        <v>4740</v>
      </c>
      <c r="F103" s="9">
        <f t="shared" ref="F103:G103" si="46">F104</f>
        <v>0</v>
      </c>
      <c r="G103" s="9">
        <f t="shared" si="46"/>
        <v>0</v>
      </c>
      <c r="H103" s="21"/>
    </row>
    <row r="104" spans="1:8" ht="26.4" x14ac:dyDescent="0.25">
      <c r="A104" s="7" t="s">
        <v>118</v>
      </c>
      <c r="B104" s="8" t="s">
        <v>301</v>
      </c>
      <c r="C104" s="8" t="s">
        <v>0</v>
      </c>
      <c r="D104" s="8"/>
      <c r="E104" s="9">
        <f>E105+E106</f>
        <v>4740</v>
      </c>
      <c r="F104" s="9">
        <f t="shared" ref="F104:G104" si="47">F105+F106</f>
        <v>0</v>
      </c>
      <c r="G104" s="9">
        <f t="shared" si="47"/>
        <v>0</v>
      </c>
      <c r="H104" s="21"/>
    </row>
    <row r="105" spans="1:8" x14ac:dyDescent="0.25">
      <c r="A105" s="7" t="s">
        <v>155</v>
      </c>
      <c r="B105" s="8" t="s">
        <v>301</v>
      </c>
      <c r="C105" s="8" t="s">
        <v>0</v>
      </c>
      <c r="D105" s="8" t="s">
        <v>37</v>
      </c>
      <c r="E105" s="9">
        <v>948</v>
      </c>
      <c r="F105" s="9">
        <v>0</v>
      </c>
      <c r="G105" s="9">
        <v>0</v>
      </c>
      <c r="H105" s="21"/>
    </row>
    <row r="106" spans="1:8" x14ac:dyDescent="0.25">
      <c r="A106" s="7" t="s">
        <v>156</v>
      </c>
      <c r="B106" s="8" t="s">
        <v>301</v>
      </c>
      <c r="C106" s="8" t="s">
        <v>0</v>
      </c>
      <c r="D106" s="8" t="s">
        <v>35</v>
      </c>
      <c r="E106" s="9">
        <f>3792</f>
        <v>3792</v>
      </c>
      <c r="F106" s="9">
        <v>0</v>
      </c>
      <c r="G106" s="9">
        <v>0</v>
      </c>
      <c r="H106" s="21"/>
    </row>
    <row r="107" spans="1:8" ht="26.4" x14ac:dyDescent="0.25">
      <c r="A107" s="7" t="s">
        <v>386</v>
      </c>
      <c r="B107" s="8" t="s">
        <v>41</v>
      </c>
      <c r="C107" s="8"/>
      <c r="D107" s="8"/>
      <c r="E107" s="9">
        <f>E108+E111+E115</f>
        <v>6526.4000000000005</v>
      </c>
      <c r="F107" s="9">
        <f t="shared" ref="F107:G107" si="48">F108+F111+F115</f>
        <v>2096.8000000000002</v>
      </c>
      <c r="G107" s="9">
        <f t="shared" si="48"/>
        <v>2096.8000000000002</v>
      </c>
      <c r="H107" s="21"/>
    </row>
    <row r="108" spans="1:8" ht="52.8" x14ac:dyDescent="0.25">
      <c r="A108" s="7" t="s">
        <v>117</v>
      </c>
      <c r="B108" s="8" t="s">
        <v>41</v>
      </c>
      <c r="C108" s="8" t="s">
        <v>4</v>
      </c>
      <c r="D108" s="8"/>
      <c r="E108" s="9">
        <f>E109+E110</f>
        <v>512.6</v>
      </c>
      <c r="F108" s="9">
        <f t="shared" ref="F108:G108" si="49">F109+F110</f>
        <v>0</v>
      </c>
      <c r="G108" s="9">
        <f t="shared" si="49"/>
        <v>0</v>
      </c>
      <c r="H108" s="21"/>
    </row>
    <row r="109" spans="1:8" x14ac:dyDescent="0.25">
      <c r="A109" s="7" t="s">
        <v>155</v>
      </c>
      <c r="B109" s="8" t="s">
        <v>41</v>
      </c>
      <c r="C109" s="8" t="s">
        <v>4</v>
      </c>
      <c r="D109" s="8" t="s">
        <v>37</v>
      </c>
      <c r="E109" s="9">
        <f>282.6</f>
        <v>282.60000000000002</v>
      </c>
      <c r="F109" s="9">
        <f>0</f>
        <v>0</v>
      </c>
      <c r="G109" s="9">
        <f>0</f>
        <v>0</v>
      </c>
      <c r="H109" s="21"/>
    </row>
    <row r="110" spans="1:8" x14ac:dyDescent="0.25">
      <c r="A110" s="7" t="s">
        <v>156</v>
      </c>
      <c r="B110" s="8" t="s">
        <v>41</v>
      </c>
      <c r="C110" s="8" t="s">
        <v>4</v>
      </c>
      <c r="D110" s="8" t="s">
        <v>35</v>
      </c>
      <c r="E110" s="9">
        <f>230</f>
        <v>230</v>
      </c>
      <c r="F110" s="9">
        <f>0</f>
        <v>0</v>
      </c>
      <c r="G110" s="9">
        <f>0</f>
        <v>0</v>
      </c>
      <c r="H110" s="21"/>
    </row>
    <row r="111" spans="1:8" ht="26.4" x14ac:dyDescent="0.25">
      <c r="A111" s="7" t="s">
        <v>118</v>
      </c>
      <c r="B111" s="8" t="s">
        <v>41</v>
      </c>
      <c r="C111" s="8" t="s">
        <v>0</v>
      </c>
      <c r="D111" s="8"/>
      <c r="E111" s="9">
        <f>E112+E113+E114</f>
        <v>5539.9000000000005</v>
      </c>
      <c r="F111" s="9">
        <f t="shared" ref="F111:G111" si="50">F112+F113+F114</f>
        <v>1872.9</v>
      </c>
      <c r="G111" s="9">
        <f t="shared" si="50"/>
        <v>1872.9</v>
      </c>
      <c r="H111" s="21"/>
    </row>
    <row r="112" spans="1:8" x14ac:dyDescent="0.25">
      <c r="A112" s="7" t="s">
        <v>155</v>
      </c>
      <c r="B112" s="8" t="s">
        <v>41</v>
      </c>
      <c r="C112" s="8" t="s">
        <v>0</v>
      </c>
      <c r="D112" s="8" t="s">
        <v>37</v>
      </c>
      <c r="E112" s="9">
        <f>2512.9</f>
        <v>2512.9</v>
      </c>
      <c r="F112" s="9">
        <v>817.7</v>
      </c>
      <c r="G112" s="9">
        <v>817.7</v>
      </c>
      <c r="H112" s="21"/>
    </row>
    <row r="113" spans="1:8" x14ac:dyDescent="0.25">
      <c r="A113" s="7" t="s">
        <v>156</v>
      </c>
      <c r="B113" s="8" t="s">
        <v>41</v>
      </c>
      <c r="C113" s="8" t="s">
        <v>0</v>
      </c>
      <c r="D113" s="8" t="s">
        <v>35</v>
      </c>
      <c r="E113" s="9">
        <f>2980.8</f>
        <v>2980.8</v>
      </c>
      <c r="F113" s="9">
        <v>1009</v>
      </c>
      <c r="G113" s="9">
        <v>1009</v>
      </c>
      <c r="H113" s="21"/>
    </row>
    <row r="114" spans="1:8" x14ac:dyDescent="0.25">
      <c r="A114" s="7" t="s">
        <v>160</v>
      </c>
      <c r="B114" s="8" t="s">
        <v>41</v>
      </c>
      <c r="C114" s="8" t="s">
        <v>0</v>
      </c>
      <c r="D114" s="8" t="s">
        <v>40</v>
      </c>
      <c r="E114" s="9">
        <v>46.2</v>
      </c>
      <c r="F114" s="9">
        <v>46.2</v>
      </c>
      <c r="G114" s="9">
        <v>46.2</v>
      </c>
      <c r="H114" s="21"/>
    </row>
    <row r="115" spans="1:8" ht="26.25" customHeight="1" x14ac:dyDescent="0.25">
      <c r="A115" s="7" t="s">
        <v>158</v>
      </c>
      <c r="B115" s="8" t="s">
        <v>41</v>
      </c>
      <c r="C115" s="8" t="s">
        <v>3</v>
      </c>
      <c r="D115" s="8"/>
      <c r="E115" s="9">
        <f>E116</f>
        <v>473.9</v>
      </c>
      <c r="F115" s="9">
        <f t="shared" ref="F115:G115" si="51">F116</f>
        <v>223.9</v>
      </c>
      <c r="G115" s="9">
        <f t="shared" si="51"/>
        <v>223.9</v>
      </c>
      <c r="H115" s="21"/>
    </row>
    <row r="116" spans="1:8" x14ac:dyDescent="0.25">
      <c r="A116" s="7" t="s">
        <v>159</v>
      </c>
      <c r="B116" s="8" t="s">
        <v>41</v>
      </c>
      <c r="C116" s="8" t="s">
        <v>3</v>
      </c>
      <c r="D116" s="8" t="s">
        <v>38</v>
      </c>
      <c r="E116" s="9">
        <f>473.9</f>
        <v>473.9</v>
      </c>
      <c r="F116" s="9">
        <v>223.9</v>
      </c>
      <c r="G116" s="9">
        <v>223.9</v>
      </c>
      <c r="H116" s="21"/>
    </row>
    <row r="117" spans="1:8" x14ac:dyDescent="0.25">
      <c r="A117" s="7" t="s">
        <v>42</v>
      </c>
      <c r="B117" s="8" t="s">
        <v>43</v>
      </c>
      <c r="C117" s="8"/>
      <c r="D117" s="8"/>
      <c r="E117" s="9">
        <f>E118+E128</f>
        <v>1586.5</v>
      </c>
      <c r="F117" s="9">
        <f>F118+F128</f>
        <v>508.4</v>
      </c>
      <c r="G117" s="9">
        <f>G118+G128</f>
        <v>508.4</v>
      </c>
      <c r="H117" s="21"/>
    </row>
    <row r="118" spans="1:8" ht="26.25" customHeight="1" x14ac:dyDescent="0.25">
      <c r="A118" s="7" t="s">
        <v>387</v>
      </c>
      <c r="B118" s="8" t="s">
        <v>44</v>
      </c>
      <c r="C118" s="8"/>
      <c r="D118" s="8"/>
      <c r="E118" s="9">
        <f>E119+E122+E124+E126</f>
        <v>1266.5</v>
      </c>
      <c r="F118" s="9">
        <f t="shared" ref="F118:G118" si="52">F119+F122+F124+F126</f>
        <v>188.4</v>
      </c>
      <c r="G118" s="9">
        <f t="shared" si="52"/>
        <v>188.4</v>
      </c>
      <c r="H118" s="21"/>
    </row>
    <row r="119" spans="1:8" ht="52.8" x14ac:dyDescent="0.25">
      <c r="A119" s="7" t="s">
        <v>117</v>
      </c>
      <c r="B119" s="8" t="s">
        <v>44</v>
      </c>
      <c r="C119" s="8" t="s">
        <v>4</v>
      </c>
      <c r="D119" s="8"/>
      <c r="E119" s="9">
        <f>E120+E121</f>
        <v>612</v>
      </c>
      <c r="F119" s="9">
        <f t="shared" ref="F119:G119" si="53">F120+F121</f>
        <v>88.4</v>
      </c>
      <c r="G119" s="9">
        <f t="shared" si="53"/>
        <v>88.4</v>
      </c>
      <c r="H119" s="21"/>
    </row>
    <row r="120" spans="1:8" x14ac:dyDescent="0.25">
      <c r="A120" s="7" t="s">
        <v>156</v>
      </c>
      <c r="B120" s="8" t="s">
        <v>44</v>
      </c>
      <c r="C120" s="8" t="s">
        <v>4</v>
      </c>
      <c r="D120" s="8" t="s">
        <v>35</v>
      </c>
      <c r="E120" s="9">
        <f>523.5+0.1</f>
        <v>523.6</v>
      </c>
      <c r="F120" s="9">
        <f>0</f>
        <v>0</v>
      </c>
      <c r="G120" s="9">
        <f>0</f>
        <v>0</v>
      </c>
      <c r="H120" s="21"/>
    </row>
    <row r="121" spans="1:8" x14ac:dyDescent="0.25">
      <c r="A121" s="7" t="s">
        <v>160</v>
      </c>
      <c r="B121" s="8" t="s">
        <v>44</v>
      </c>
      <c r="C121" s="8" t="s">
        <v>4</v>
      </c>
      <c r="D121" s="8" t="s">
        <v>40</v>
      </c>
      <c r="E121" s="9">
        <v>88.4</v>
      </c>
      <c r="F121" s="9">
        <v>88.4</v>
      </c>
      <c r="G121" s="9">
        <v>88.4</v>
      </c>
      <c r="H121" s="21"/>
    </row>
    <row r="122" spans="1:8" ht="26.4" x14ac:dyDescent="0.25">
      <c r="A122" s="7" t="s">
        <v>118</v>
      </c>
      <c r="B122" s="8" t="s">
        <v>44</v>
      </c>
      <c r="C122" s="8" t="s">
        <v>0</v>
      </c>
      <c r="D122" s="8"/>
      <c r="E122" s="9">
        <f>E123</f>
        <v>225</v>
      </c>
      <c r="F122" s="9">
        <f t="shared" ref="F122:G122" si="54">F123</f>
        <v>100</v>
      </c>
      <c r="G122" s="9">
        <f t="shared" si="54"/>
        <v>100</v>
      </c>
      <c r="H122" s="21"/>
    </row>
    <row r="123" spans="1:8" x14ac:dyDescent="0.25">
      <c r="A123" s="7" t="s">
        <v>160</v>
      </c>
      <c r="B123" s="8" t="s">
        <v>44</v>
      </c>
      <c r="C123" s="8" t="s">
        <v>0</v>
      </c>
      <c r="D123" s="8" t="s">
        <v>40</v>
      </c>
      <c r="E123" s="9">
        <f>225</f>
        <v>225</v>
      </c>
      <c r="F123" s="9">
        <v>100</v>
      </c>
      <c r="G123" s="9">
        <v>100</v>
      </c>
      <c r="H123" s="21"/>
    </row>
    <row r="124" spans="1:8" ht="18" customHeight="1" x14ac:dyDescent="0.25">
      <c r="A124" s="7" t="s">
        <v>119</v>
      </c>
      <c r="B124" s="8" t="s">
        <v>44</v>
      </c>
      <c r="C124" s="8" t="s">
        <v>2</v>
      </c>
      <c r="D124" s="8"/>
      <c r="E124" s="9">
        <f>E125</f>
        <v>350</v>
      </c>
      <c r="F124" s="9">
        <f t="shared" ref="F124:G124" si="55">F125</f>
        <v>0</v>
      </c>
      <c r="G124" s="9">
        <f t="shared" si="55"/>
        <v>0</v>
      </c>
      <c r="H124" s="21"/>
    </row>
    <row r="125" spans="1:8" ht="18" customHeight="1" x14ac:dyDescent="0.25">
      <c r="A125" s="7" t="s">
        <v>160</v>
      </c>
      <c r="B125" s="8" t="s">
        <v>44</v>
      </c>
      <c r="C125" s="8" t="s">
        <v>2</v>
      </c>
      <c r="D125" s="8" t="s">
        <v>40</v>
      </c>
      <c r="E125" s="9">
        <f>350</f>
        <v>350</v>
      </c>
      <c r="F125" s="9">
        <f>0</f>
        <v>0</v>
      </c>
      <c r="G125" s="9">
        <f>0</f>
        <v>0</v>
      </c>
      <c r="H125" s="21"/>
    </row>
    <row r="126" spans="1:8" ht="26.4" x14ac:dyDescent="0.25">
      <c r="A126" s="7" t="s">
        <v>158</v>
      </c>
      <c r="B126" s="8" t="s">
        <v>44</v>
      </c>
      <c r="C126" s="8" t="s">
        <v>3</v>
      </c>
      <c r="D126" s="8"/>
      <c r="E126" s="9">
        <f>E127</f>
        <v>79.5</v>
      </c>
      <c r="F126" s="9">
        <f t="shared" ref="F126:G126" si="56">F127</f>
        <v>0</v>
      </c>
      <c r="G126" s="9">
        <f t="shared" si="56"/>
        <v>0</v>
      </c>
      <c r="H126" s="21"/>
    </row>
    <row r="127" spans="1:8" ht="15.6" customHeight="1" x14ac:dyDescent="0.25">
      <c r="A127" s="7" t="s">
        <v>159</v>
      </c>
      <c r="B127" s="8" t="s">
        <v>44</v>
      </c>
      <c r="C127" s="8" t="s">
        <v>3</v>
      </c>
      <c r="D127" s="8" t="s">
        <v>38</v>
      </c>
      <c r="E127" s="9">
        <f>79.5</f>
        <v>79.5</v>
      </c>
      <c r="F127" s="9">
        <f>0</f>
        <v>0</v>
      </c>
      <c r="G127" s="9">
        <f>0</f>
        <v>0</v>
      </c>
      <c r="H127" s="21"/>
    </row>
    <row r="128" spans="1:8" ht="26.4" x14ac:dyDescent="0.25">
      <c r="A128" s="7" t="s">
        <v>388</v>
      </c>
      <c r="B128" s="8" t="s">
        <v>45</v>
      </c>
      <c r="C128" s="8"/>
      <c r="D128" s="8"/>
      <c r="E128" s="9">
        <f>E129</f>
        <v>320</v>
      </c>
      <c r="F128" s="9">
        <f t="shared" ref="F128:G128" si="57">F129</f>
        <v>320</v>
      </c>
      <c r="G128" s="9">
        <f t="shared" si="57"/>
        <v>320</v>
      </c>
      <c r="H128" s="21"/>
    </row>
    <row r="129" spans="1:8" x14ac:dyDescent="0.25">
      <c r="A129" s="7" t="s">
        <v>119</v>
      </c>
      <c r="B129" s="8" t="s">
        <v>45</v>
      </c>
      <c r="C129" s="8" t="s">
        <v>2</v>
      </c>
      <c r="D129" s="8"/>
      <c r="E129" s="9">
        <f>E130</f>
        <v>320</v>
      </c>
      <c r="F129" s="9">
        <f t="shared" ref="F129:G129" si="58">F130</f>
        <v>320</v>
      </c>
      <c r="G129" s="9">
        <f t="shared" si="58"/>
        <v>320</v>
      </c>
      <c r="H129" s="21"/>
    </row>
    <row r="130" spans="1:8" x14ac:dyDescent="0.25">
      <c r="A130" s="7" t="s">
        <v>161</v>
      </c>
      <c r="B130" s="8" t="s">
        <v>45</v>
      </c>
      <c r="C130" s="8" t="s">
        <v>2</v>
      </c>
      <c r="D130" s="8" t="s">
        <v>46</v>
      </c>
      <c r="E130" s="9">
        <f>320</f>
        <v>320</v>
      </c>
      <c r="F130" s="9">
        <v>320</v>
      </c>
      <c r="G130" s="9">
        <v>320</v>
      </c>
      <c r="H130" s="21"/>
    </row>
    <row r="131" spans="1:8" x14ac:dyDescent="0.25">
      <c r="A131" s="7" t="s">
        <v>11</v>
      </c>
      <c r="B131" s="8" t="s">
        <v>47</v>
      </c>
      <c r="C131" s="8"/>
      <c r="D131" s="8"/>
      <c r="E131" s="9">
        <f>E132+E153+E223</f>
        <v>1627433.9000000001</v>
      </c>
      <c r="F131" s="9">
        <f>F132+F153+F223</f>
        <v>1397501.4</v>
      </c>
      <c r="G131" s="9">
        <f>G132+G153+G223</f>
        <v>1409617</v>
      </c>
      <c r="H131" s="22"/>
    </row>
    <row r="132" spans="1:8" ht="40.200000000000003" customHeight="1" x14ac:dyDescent="0.25">
      <c r="A132" s="7" t="s">
        <v>383</v>
      </c>
      <c r="B132" s="8" t="s">
        <v>48</v>
      </c>
      <c r="C132" s="8"/>
      <c r="D132" s="8"/>
      <c r="E132" s="9">
        <f>E135++E137+E139+E133+E144+E147+E150</f>
        <v>568318.20000000007</v>
      </c>
      <c r="F132" s="9">
        <f t="shared" ref="F132:G132" si="59">F135++F137+F139+F133+F144+F147+F150</f>
        <v>505754.39999999997</v>
      </c>
      <c r="G132" s="9">
        <f t="shared" si="59"/>
        <v>521617</v>
      </c>
      <c r="H132" s="21"/>
    </row>
    <row r="133" spans="1:8" ht="52.2" customHeight="1" x14ac:dyDescent="0.25">
      <c r="A133" s="7" t="s">
        <v>117</v>
      </c>
      <c r="B133" s="8" t="s">
        <v>48</v>
      </c>
      <c r="C133" s="8" t="s">
        <v>4</v>
      </c>
      <c r="D133" s="8"/>
      <c r="E133" s="9">
        <f>E134</f>
        <v>192.8</v>
      </c>
      <c r="F133" s="9">
        <f t="shared" ref="F133:G133" si="60">F134</f>
        <v>0</v>
      </c>
      <c r="G133" s="9">
        <f t="shared" si="60"/>
        <v>0</v>
      </c>
      <c r="H133" s="21"/>
    </row>
    <row r="134" spans="1:8" ht="16.95" customHeight="1" x14ac:dyDescent="0.25">
      <c r="A134" s="7" t="s">
        <v>155</v>
      </c>
      <c r="B134" s="8" t="s">
        <v>48</v>
      </c>
      <c r="C134" s="8" t="s">
        <v>4</v>
      </c>
      <c r="D134" s="8" t="s">
        <v>37</v>
      </c>
      <c r="E134" s="9">
        <v>192.8</v>
      </c>
      <c r="F134" s="9">
        <v>0</v>
      </c>
      <c r="G134" s="9">
        <v>0</v>
      </c>
      <c r="H134" s="21"/>
    </row>
    <row r="135" spans="1:8" ht="30" customHeight="1" x14ac:dyDescent="0.25">
      <c r="A135" s="7" t="s">
        <v>118</v>
      </c>
      <c r="B135" s="8" t="s">
        <v>48</v>
      </c>
      <c r="C135" s="8" t="s">
        <v>0</v>
      </c>
      <c r="D135" s="8"/>
      <c r="E135" s="9">
        <f>E136</f>
        <v>93249.5</v>
      </c>
      <c r="F135" s="9">
        <f t="shared" ref="F135:G135" si="61">F136</f>
        <v>79534.3</v>
      </c>
      <c r="G135" s="9">
        <f t="shared" si="61"/>
        <v>79534.3</v>
      </c>
      <c r="H135" s="21"/>
    </row>
    <row r="136" spans="1:8" ht="15" customHeight="1" x14ac:dyDescent="0.25">
      <c r="A136" s="7" t="s">
        <v>155</v>
      </c>
      <c r="B136" s="8" t="s">
        <v>48</v>
      </c>
      <c r="C136" s="8" t="s">
        <v>0</v>
      </c>
      <c r="D136" s="8" t="s">
        <v>37</v>
      </c>
      <c r="E136" s="9">
        <f>93249.5</f>
        <v>93249.5</v>
      </c>
      <c r="F136" s="9">
        <f>79534.3</f>
        <v>79534.3</v>
      </c>
      <c r="G136" s="9">
        <f>79534.3</f>
        <v>79534.3</v>
      </c>
      <c r="H136" s="21"/>
    </row>
    <row r="137" spans="1:8" ht="15" customHeight="1" x14ac:dyDescent="0.25">
      <c r="A137" s="10" t="s">
        <v>152</v>
      </c>
      <c r="B137" s="8" t="s">
        <v>48</v>
      </c>
      <c r="C137" s="8" t="s">
        <v>1</v>
      </c>
      <c r="D137" s="8"/>
      <c r="E137" s="9">
        <f>E138</f>
        <v>2188.1</v>
      </c>
      <c r="F137" s="9">
        <f t="shared" ref="F137:G137" si="62">F138</f>
        <v>115</v>
      </c>
      <c r="G137" s="9">
        <f t="shared" si="62"/>
        <v>115</v>
      </c>
      <c r="H137" s="21"/>
    </row>
    <row r="138" spans="1:8" ht="15.6" customHeight="1" x14ac:dyDescent="0.25">
      <c r="A138" s="7" t="s">
        <v>155</v>
      </c>
      <c r="B138" s="8" t="s">
        <v>48</v>
      </c>
      <c r="C138" s="8" t="s">
        <v>1</v>
      </c>
      <c r="D138" s="8" t="s">
        <v>37</v>
      </c>
      <c r="E138" s="9">
        <f>2188.1</f>
        <v>2188.1</v>
      </c>
      <c r="F138" s="9">
        <v>115</v>
      </c>
      <c r="G138" s="9">
        <v>115</v>
      </c>
      <c r="H138" s="21"/>
    </row>
    <row r="139" spans="1:8" ht="58.2" customHeight="1" x14ac:dyDescent="0.25">
      <c r="A139" s="7" t="s">
        <v>17</v>
      </c>
      <c r="B139" s="8" t="s">
        <v>294</v>
      </c>
      <c r="C139" s="8"/>
      <c r="D139" s="8"/>
      <c r="E139" s="9">
        <f>E140+E142</f>
        <v>468187.8</v>
      </c>
      <c r="F139" s="9">
        <f t="shared" ref="F139:G139" si="63">F140+F142</f>
        <v>426105.1</v>
      </c>
      <c r="G139" s="9">
        <f t="shared" si="63"/>
        <v>441967.7</v>
      </c>
      <c r="H139" s="21"/>
    </row>
    <row r="140" spans="1:8" ht="52.95" customHeight="1" x14ac:dyDescent="0.25">
      <c r="A140" s="7" t="s">
        <v>117</v>
      </c>
      <c r="B140" s="8" t="s">
        <v>294</v>
      </c>
      <c r="C140" s="8" t="s">
        <v>4</v>
      </c>
      <c r="D140" s="8"/>
      <c r="E140" s="9">
        <f>E141</f>
        <v>460583.1</v>
      </c>
      <c r="F140" s="9">
        <f t="shared" ref="F140:G140" si="64">F141</f>
        <v>423452.1</v>
      </c>
      <c r="G140" s="9">
        <f t="shared" si="64"/>
        <v>439314.7</v>
      </c>
      <c r="H140" s="21"/>
    </row>
    <row r="141" spans="1:8" ht="16.2" customHeight="1" x14ac:dyDescent="0.25">
      <c r="A141" s="7" t="s">
        <v>155</v>
      </c>
      <c r="B141" s="8" t="s">
        <v>294</v>
      </c>
      <c r="C141" s="8" t="s">
        <v>4</v>
      </c>
      <c r="D141" s="8" t="s">
        <v>37</v>
      </c>
      <c r="E141" s="9">
        <f>460583.1</f>
        <v>460583.1</v>
      </c>
      <c r="F141" s="9">
        <v>423452.1</v>
      </c>
      <c r="G141" s="9">
        <v>439314.7</v>
      </c>
      <c r="H141" s="21"/>
    </row>
    <row r="142" spans="1:8" ht="31.2" customHeight="1" x14ac:dyDescent="0.25">
      <c r="A142" s="7" t="s">
        <v>118</v>
      </c>
      <c r="B142" s="8" t="s">
        <v>294</v>
      </c>
      <c r="C142" s="8" t="s">
        <v>0</v>
      </c>
      <c r="D142" s="8"/>
      <c r="E142" s="9">
        <f>E143</f>
        <v>7604.7</v>
      </c>
      <c r="F142" s="9">
        <f t="shared" ref="F142:G142" si="65">F143</f>
        <v>2653</v>
      </c>
      <c r="G142" s="9">
        <f t="shared" si="65"/>
        <v>2653</v>
      </c>
      <c r="H142" s="21"/>
    </row>
    <row r="143" spans="1:8" ht="17.399999999999999" customHeight="1" x14ac:dyDescent="0.25">
      <c r="A143" s="7" t="s">
        <v>155</v>
      </c>
      <c r="B143" s="8" t="s">
        <v>294</v>
      </c>
      <c r="C143" s="8" t="s">
        <v>0</v>
      </c>
      <c r="D143" s="8" t="s">
        <v>37</v>
      </c>
      <c r="E143" s="9">
        <f>7604.7</f>
        <v>7604.7</v>
      </c>
      <c r="F143" s="9">
        <v>2653</v>
      </c>
      <c r="G143" s="9">
        <v>2653</v>
      </c>
      <c r="H143" s="21"/>
    </row>
    <row r="144" spans="1:8" ht="41.4" customHeight="1" x14ac:dyDescent="0.25">
      <c r="A144" s="7" t="s">
        <v>451</v>
      </c>
      <c r="B144" s="8" t="s">
        <v>450</v>
      </c>
      <c r="C144" s="8"/>
      <c r="D144" s="8"/>
      <c r="E144" s="9">
        <f>E145</f>
        <v>1200</v>
      </c>
      <c r="F144" s="9">
        <f t="shared" ref="F144:G144" si="66">F145</f>
        <v>0</v>
      </c>
      <c r="G144" s="9">
        <f t="shared" si="66"/>
        <v>0</v>
      </c>
      <c r="H144" s="21"/>
    </row>
    <row r="145" spans="1:8" ht="31.95" customHeight="1" x14ac:dyDescent="0.25">
      <c r="A145" s="7" t="s">
        <v>118</v>
      </c>
      <c r="B145" s="8" t="s">
        <v>450</v>
      </c>
      <c r="C145" s="8" t="s">
        <v>0</v>
      </c>
      <c r="D145" s="8"/>
      <c r="E145" s="9">
        <f>E146</f>
        <v>1200</v>
      </c>
      <c r="F145" s="9">
        <f t="shared" ref="F145:G145" si="67">F146</f>
        <v>0</v>
      </c>
      <c r="G145" s="9">
        <f t="shared" si="67"/>
        <v>0</v>
      </c>
      <c r="H145" s="21"/>
    </row>
    <row r="146" spans="1:8" ht="18" customHeight="1" x14ac:dyDescent="0.25">
      <c r="A146" s="7" t="s">
        <v>155</v>
      </c>
      <c r="B146" s="8" t="s">
        <v>450</v>
      </c>
      <c r="C146" s="8" t="s">
        <v>0</v>
      </c>
      <c r="D146" s="8" t="s">
        <v>37</v>
      </c>
      <c r="E146" s="9">
        <f>1200</f>
        <v>1200</v>
      </c>
      <c r="F146" s="9">
        <f>0</f>
        <v>0</v>
      </c>
      <c r="G146" s="9">
        <f>0</f>
        <v>0</v>
      </c>
      <c r="H146" s="21"/>
    </row>
    <row r="147" spans="1:8" ht="43.2" customHeight="1" x14ac:dyDescent="0.25">
      <c r="A147" s="7" t="s">
        <v>453</v>
      </c>
      <c r="B147" s="8" t="s">
        <v>452</v>
      </c>
      <c r="C147" s="8"/>
      <c r="D147" s="8"/>
      <c r="E147" s="9">
        <f>E148</f>
        <v>2300</v>
      </c>
      <c r="F147" s="9">
        <f t="shared" ref="F147:G147" si="68">F148</f>
        <v>0</v>
      </c>
      <c r="G147" s="9">
        <f t="shared" si="68"/>
        <v>0</v>
      </c>
      <c r="H147" s="21"/>
    </row>
    <row r="148" spans="1:8" ht="30.6" customHeight="1" x14ac:dyDescent="0.25">
      <c r="A148" s="7" t="s">
        <v>118</v>
      </c>
      <c r="B148" s="8" t="s">
        <v>452</v>
      </c>
      <c r="C148" s="8" t="s">
        <v>0</v>
      </c>
      <c r="D148" s="8"/>
      <c r="E148" s="9">
        <f>E149</f>
        <v>2300</v>
      </c>
      <c r="F148" s="9">
        <f t="shared" ref="F148:G148" si="69">F149</f>
        <v>0</v>
      </c>
      <c r="G148" s="9">
        <f t="shared" si="69"/>
        <v>0</v>
      </c>
      <c r="H148" s="21"/>
    </row>
    <row r="149" spans="1:8" ht="18" customHeight="1" x14ac:dyDescent="0.25">
      <c r="A149" s="7" t="s">
        <v>155</v>
      </c>
      <c r="B149" s="8" t="s">
        <v>452</v>
      </c>
      <c r="C149" s="8" t="s">
        <v>0</v>
      </c>
      <c r="D149" s="8" t="s">
        <v>37</v>
      </c>
      <c r="E149" s="9">
        <f>2300</f>
        <v>2300</v>
      </c>
      <c r="F149" s="9">
        <f>0</f>
        <v>0</v>
      </c>
      <c r="G149" s="9">
        <f>0</f>
        <v>0</v>
      </c>
      <c r="H149" s="21"/>
    </row>
    <row r="150" spans="1:8" ht="42.6" customHeight="1" x14ac:dyDescent="0.25">
      <c r="A150" s="7" t="s">
        <v>455</v>
      </c>
      <c r="B150" s="8" t="s">
        <v>454</v>
      </c>
      <c r="C150" s="8"/>
      <c r="D150" s="8"/>
      <c r="E150" s="9">
        <f>E151</f>
        <v>1000</v>
      </c>
      <c r="F150" s="9">
        <f t="shared" ref="F150:G150" si="70">F151</f>
        <v>0</v>
      </c>
      <c r="G150" s="9">
        <f t="shared" si="70"/>
        <v>0</v>
      </c>
      <c r="H150" s="21"/>
    </row>
    <row r="151" spans="1:8" ht="28.2" customHeight="1" x14ac:dyDescent="0.25">
      <c r="A151" s="7" t="s">
        <v>118</v>
      </c>
      <c r="B151" s="8" t="s">
        <v>454</v>
      </c>
      <c r="C151" s="8" t="s">
        <v>0</v>
      </c>
      <c r="D151" s="8"/>
      <c r="E151" s="9">
        <f>E152</f>
        <v>1000</v>
      </c>
      <c r="F151" s="9">
        <f t="shared" ref="F151:G151" si="71">F152</f>
        <v>0</v>
      </c>
      <c r="G151" s="9">
        <f t="shared" si="71"/>
        <v>0</v>
      </c>
      <c r="H151" s="21"/>
    </row>
    <row r="152" spans="1:8" ht="16.95" customHeight="1" x14ac:dyDescent="0.25">
      <c r="A152" s="7" t="s">
        <v>155</v>
      </c>
      <c r="B152" s="8" t="s">
        <v>454</v>
      </c>
      <c r="C152" s="8" t="s">
        <v>0</v>
      </c>
      <c r="D152" s="8" t="s">
        <v>37</v>
      </c>
      <c r="E152" s="9">
        <f>1000</f>
        <v>1000</v>
      </c>
      <c r="F152" s="9">
        <f>0</f>
        <v>0</v>
      </c>
      <c r="G152" s="9">
        <f>0</f>
        <v>0</v>
      </c>
      <c r="H152" s="21"/>
    </row>
    <row r="153" spans="1:8" ht="66.599999999999994" customHeight="1" x14ac:dyDescent="0.25">
      <c r="A153" s="7" t="s">
        <v>389</v>
      </c>
      <c r="B153" s="8" t="s">
        <v>49</v>
      </c>
      <c r="C153" s="8"/>
      <c r="D153" s="8"/>
      <c r="E153" s="9">
        <f>E154+E156+E160+E163+E166+E179+E182+E209+E212+E220+E171+E174+E203+E158+E217+E185+E191+E194+E197+E200+E206+E188</f>
        <v>885474.20000000007</v>
      </c>
      <c r="F153" s="9">
        <f t="shared" ref="F153:G153" si="72">F154+F156+F160+F163+F166+F179+F182+F209+F212+F220+F171+F174+F203+F158+F217+F185+F191+F194+F197+F200+F206+F188</f>
        <v>792831.79999999993</v>
      </c>
      <c r="G153" s="9">
        <f t="shared" si="72"/>
        <v>782783.49999999988</v>
      </c>
      <c r="H153" s="21"/>
    </row>
    <row r="154" spans="1:8" ht="54.6" customHeight="1" x14ac:dyDescent="0.25">
      <c r="A154" s="7" t="s">
        <v>117</v>
      </c>
      <c r="B154" s="8" t="s">
        <v>49</v>
      </c>
      <c r="C154" s="8" t="s">
        <v>4</v>
      </c>
      <c r="D154" s="8"/>
      <c r="E154" s="9">
        <f>E155</f>
        <v>297.7</v>
      </c>
      <c r="F154" s="9">
        <f t="shared" ref="F154:G154" si="73">F155</f>
        <v>0</v>
      </c>
      <c r="G154" s="9">
        <f t="shared" si="73"/>
        <v>0</v>
      </c>
      <c r="H154" s="21"/>
    </row>
    <row r="155" spans="1:8" ht="15.6" customHeight="1" x14ac:dyDescent="0.25">
      <c r="A155" s="7" t="s">
        <v>156</v>
      </c>
      <c r="B155" s="8" t="s">
        <v>49</v>
      </c>
      <c r="C155" s="8" t="s">
        <v>4</v>
      </c>
      <c r="D155" s="8" t="s">
        <v>35</v>
      </c>
      <c r="E155" s="9">
        <f>297.7</f>
        <v>297.7</v>
      </c>
      <c r="F155" s="9">
        <f>0</f>
        <v>0</v>
      </c>
      <c r="G155" s="9">
        <f>0</f>
        <v>0</v>
      </c>
      <c r="H155" s="21"/>
    </row>
    <row r="156" spans="1:8" ht="27" customHeight="1" x14ac:dyDescent="0.25">
      <c r="A156" s="7" t="s">
        <v>118</v>
      </c>
      <c r="B156" s="8" t="s">
        <v>49</v>
      </c>
      <c r="C156" s="8" t="s">
        <v>0</v>
      </c>
      <c r="D156" s="8"/>
      <c r="E156" s="9">
        <f>E157</f>
        <v>41643.9</v>
      </c>
      <c r="F156" s="9">
        <f t="shared" ref="F156:G156" si="74">F157</f>
        <v>26523.8</v>
      </c>
      <c r="G156" s="9">
        <f t="shared" si="74"/>
        <v>26548.2</v>
      </c>
      <c r="H156" s="21"/>
    </row>
    <row r="157" spans="1:8" ht="15" customHeight="1" x14ac:dyDescent="0.25">
      <c r="A157" s="7" t="s">
        <v>156</v>
      </c>
      <c r="B157" s="8" t="s">
        <v>49</v>
      </c>
      <c r="C157" s="8" t="s">
        <v>0</v>
      </c>
      <c r="D157" s="8" t="s">
        <v>35</v>
      </c>
      <c r="E157" s="9">
        <f>41643.9</f>
        <v>41643.9</v>
      </c>
      <c r="F157" s="9">
        <f>26523.8</f>
        <v>26523.8</v>
      </c>
      <c r="G157" s="9">
        <f>26548.2</f>
        <v>26548.2</v>
      </c>
      <c r="H157" s="21"/>
    </row>
    <row r="158" spans="1:8" ht="15" customHeight="1" x14ac:dyDescent="0.25">
      <c r="A158" s="7" t="s">
        <v>152</v>
      </c>
      <c r="B158" s="8" t="s">
        <v>49</v>
      </c>
      <c r="C158" s="8" t="s">
        <v>1</v>
      </c>
      <c r="D158" s="8"/>
      <c r="E158" s="9">
        <f>E159</f>
        <v>1986.8</v>
      </c>
      <c r="F158" s="9">
        <f t="shared" ref="F158:G158" si="75">F159</f>
        <v>40</v>
      </c>
      <c r="G158" s="9">
        <f t="shared" si="75"/>
        <v>40</v>
      </c>
      <c r="H158" s="21"/>
    </row>
    <row r="159" spans="1:8" ht="15" customHeight="1" x14ac:dyDescent="0.25">
      <c r="A159" s="7" t="s">
        <v>156</v>
      </c>
      <c r="B159" s="8" t="s">
        <v>49</v>
      </c>
      <c r="C159" s="8" t="s">
        <v>1</v>
      </c>
      <c r="D159" s="8" t="s">
        <v>35</v>
      </c>
      <c r="E159" s="9">
        <f>1986.7+0.1</f>
        <v>1986.8</v>
      </c>
      <c r="F159" s="9">
        <v>40</v>
      </c>
      <c r="G159" s="9">
        <v>40</v>
      </c>
      <c r="H159" s="21"/>
    </row>
    <row r="160" spans="1:8" ht="53.4" customHeight="1" x14ac:dyDescent="0.25">
      <c r="A160" s="7" t="s">
        <v>512</v>
      </c>
      <c r="B160" s="8" t="s">
        <v>511</v>
      </c>
      <c r="C160" s="8"/>
      <c r="D160" s="8"/>
      <c r="E160" s="9">
        <f>E161</f>
        <v>507.8</v>
      </c>
      <c r="F160" s="9">
        <f t="shared" ref="F160:G160" si="76">F161</f>
        <v>0</v>
      </c>
      <c r="G160" s="9">
        <f t="shared" si="76"/>
        <v>0</v>
      </c>
      <c r="H160" s="21"/>
    </row>
    <row r="161" spans="1:8" ht="54.6" customHeight="1" x14ac:dyDescent="0.25">
      <c r="A161" s="7" t="s">
        <v>117</v>
      </c>
      <c r="B161" s="8" t="s">
        <v>511</v>
      </c>
      <c r="C161" s="8" t="s">
        <v>4</v>
      </c>
      <c r="D161" s="8"/>
      <c r="E161" s="9">
        <f>E162</f>
        <v>507.8</v>
      </c>
      <c r="F161" s="9">
        <f t="shared" ref="F161:G161" si="77">F162</f>
        <v>0</v>
      </c>
      <c r="G161" s="9">
        <f t="shared" si="77"/>
        <v>0</v>
      </c>
      <c r="H161" s="21"/>
    </row>
    <row r="162" spans="1:8" ht="16.95" customHeight="1" x14ac:dyDescent="0.25">
      <c r="A162" s="7" t="s">
        <v>160</v>
      </c>
      <c r="B162" s="8" t="s">
        <v>511</v>
      </c>
      <c r="C162" s="8" t="s">
        <v>4</v>
      </c>
      <c r="D162" s="8" t="s">
        <v>40</v>
      </c>
      <c r="E162" s="9">
        <f>507.8</f>
        <v>507.8</v>
      </c>
      <c r="F162" s="9">
        <f>0</f>
        <v>0</v>
      </c>
      <c r="G162" s="9">
        <f>0</f>
        <v>0</v>
      </c>
      <c r="H162" s="21"/>
    </row>
    <row r="163" spans="1:8" ht="42" customHeight="1" x14ac:dyDescent="0.25">
      <c r="A163" s="7" t="s">
        <v>278</v>
      </c>
      <c r="B163" s="8" t="s">
        <v>277</v>
      </c>
      <c r="C163" s="8"/>
      <c r="D163" s="8"/>
      <c r="E163" s="9">
        <f>E164</f>
        <v>67378.5</v>
      </c>
      <c r="F163" s="9">
        <f t="shared" ref="F163:G163" si="78">F164</f>
        <v>40378.6</v>
      </c>
      <c r="G163" s="9">
        <f t="shared" si="78"/>
        <v>40378.6</v>
      </c>
      <c r="H163" s="21"/>
    </row>
    <row r="164" spans="1:8" ht="55.2" customHeight="1" x14ac:dyDescent="0.25">
      <c r="A164" s="7" t="s">
        <v>117</v>
      </c>
      <c r="B164" s="8" t="s">
        <v>277</v>
      </c>
      <c r="C164" s="8" t="s">
        <v>4</v>
      </c>
      <c r="D164" s="8"/>
      <c r="E164" s="9">
        <f>E165</f>
        <v>67378.5</v>
      </c>
      <c r="F164" s="9">
        <f t="shared" ref="F164:G164" si="79">F165</f>
        <v>40378.6</v>
      </c>
      <c r="G164" s="9">
        <f t="shared" si="79"/>
        <v>40378.6</v>
      </c>
      <c r="H164" s="21"/>
    </row>
    <row r="165" spans="1:8" ht="17.399999999999999" customHeight="1" x14ac:dyDescent="0.25">
      <c r="A165" s="7" t="s">
        <v>156</v>
      </c>
      <c r="B165" s="8" t="s">
        <v>277</v>
      </c>
      <c r="C165" s="8" t="s">
        <v>4</v>
      </c>
      <c r="D165" s="8" t="s">
        <v>35</v>
      </c>
      <c r="E165" s="9">
        <f>67378.5</f>
        <v>67378.5</v>
      </c>
      <c r="F165" s="9">
        <f>40378.6</f>
        <v>40378.6</v>
      </c>
      <c r="G165" s="9">
        <f>40378.6</f>
        <v>40378.6</v>
      </c>
      <c r="H165" s="21"/>
    </row>
    <row r="166" spans="1:8" ht="80.25" customHeight="1" x14ac:dyDescent="0.25">
      <c r="A166" s="7" t="s">
        <v>18</v>
      </c>
      <c r="B166" s="8" t="s">
        <v>295</v>
      </c>
      <c r="C166" s="8"/>
      <c r="D166" s="8"/>
      <c r="E166" s="9">
        <f>E167+E169</f>
        <v>663731.70000000007</v>
      </c>
      <c r="F166" s="9">
        <f t="shared" ref="F166:G166" si="80">F167+F169</f>
        <v>641623</v>
      </c>
      <c r="G166" s="9">
        <f t="shared" si="80"/>
        <v>628177.69999999995</v>
      </c>
      <c r="H166" s="21"/>
    </row>
    <row r="167" spans="1:8" ht="52.8" x14ac:dyDescent="0.25">
      <c r="A167" s="7" t="s">
        <v>117</v>
      </c>
      <c r="B167" s="8" t="s">
        <v>295</v>
      </c>
      <c r="C167" s="8" t="s">
        <v>4</v>
      </c>
      <c r="D167" s="8"/>
      <c r="E167" s="9">
        <f>E168</f>
        <v>637135.4</v>
      </c>
      <c r="F167" s="9">
        <f t="shared" ref="F167:G167" si="81">F168</f>
        <v>626429</v>
      </c>
      <c r="G167" s="9">
        <f t="shared" si="81"/>
        <v>612983.69999999995</v>
      </c>
      <c r="H167" s="21"/>
    </row>
    <row r="168" spans="1:8" ht="19.5" customHeight="1" x14ac:dyDescent="0.25">
      <c r="A168" s="7" t="s">
        <v>156</v>
      </c>
      <c r="B168" s="8" t="s">
        <v>295</v>
      </c>
      <c r="C168" s="8" t="s">
        <v>4</v>
      </c>
      <c r="D168" s="8" t="s">
        <v>35</v>
      </c>
      <c r="E168" s="9">
        <f>637135.4</f>
        <v>637135.4</v>
      </c>
      <c r="F168" s="9">
        <v>626429</v>
      </c>
      <c r="G168" s="9">
        <v>612983.69999999995</v>
      </c>
      <c r="H168" s="21"/>
    </row>
    <row r="169" spans="1:8" ht="26.4" x14ac:dyDescent="0.25">
      <c r="A169" s="7" t="s">
        <v>118</v>
      </c>
      <c r="B169" s="8" t="s">
        <v>295</v>
      </c>
      <c r="C169" s="8" t="s">
        <v>0</v>
      </c>
      <c r="D169" s="8"/>
      <c r="E169" s="9">
        <f>E170</f>
        <v>26596.3</v>
      </c>
      <c r="F169" s="9">
        <f t="shared" ref="F169:G169" si="82">F170</f>
        <v>15194</v>
      </c>
      <c r="G169" s="9">
        <f t="shared" si="82"/>
        <v>15194</v>
      </c>
      <c r="H169" s="21"/>
    </row>
    <row r="170" spans="1:8" x14ac:dyDescent="0.25">
      <c r="A170" s="7" t="s">
        <v>156</v>
      </c>
      <c r="B170" s="8" t="s">
        <v>295</v>
      </c>
      <c r="C170" s="8" t="s">
        <v>0</v>
      </c>
      <c r="D170" s="8" t="s">
        <v>35</v>
      </c>
      <c r="E170" s="9">
        <f>26596.3</f>
        <v>26596.3</v>
      </c>
      <c r="F170" s="9">
        <v>15194</v>
      </c>
      <c r="G170" s="9">
        <v>15194</v>
      </c>
      <c r="H170" s="21"/>
    </row>
    <row r="171" spans="1:8" ht="48.75" customHeight="1" x14ac:dyDescent="0.25">
      <c r="A171" s="7" t="s">
        <v>392</v>
      </c>
      <c r="B171" s="8" t="s">
        <v>279</v>
      </c>
      <c r="C171" s="8"/>
      <c r="D171" s="8"/>
      <c r="E171" s="9">
        <f>E172</f>
        <v>13197.2</v>
      </c>
      <c r="F171" s="9">
        <f t="shared" ref="F171:G171" si="83">F172</f>
        <v>13197.2</v>
      </c>
      <c r="G171" s="9">
        <f t="shared" si="83"/>
        <v>13197.2</v>
      </c>
      <c r="H171" s="21"/>
    </row>
    <row r="172" spans="1:8" ht="26.4" x14ac:dyDescent="0.25">
      <c r="A172" s="7" t="s">
        <v>118</v>
      </c>
      <c r="B172" s="8" t="s">
        <v>279</v>
      </c>
      <c r="C172" s="8" t="s">
        <v>0</v>
      </c>
      <c r="D172" s="8"/>
      <c r="E172" s="9">
        <f>E173</f>
        <v>13197.2</v>
      </c>
      <c r="F172" s="9">
        <f t="shared" ref="F172:G172" si="84">F173</f>
        <v>13197.2</v>
      </c>
      <c r="G172" s="9">
        <f t="shared" si="84"/>
        <v>13197.2</v>
      </c>
      <c r="H172" s="21"/>
    </row>
    <row r="173" spans="1:8" ht="17.25" customHeight="1" x14ac:dyDescent="0.25">
      <c r="A173" s="7" t="s">
        <v>162</v>
      </c>
      <c r="B173" s="8" t="s">
        <v>279</v>
      </c>
      <c r="C173" s="8" t="s">
        <v>0</v>
      </c>
      <c r="D173" s="8" t="s">
        <v>51</v>
      </c>
      <c r="E173" s="9">
        <v>13197.2</v>
      </c>
      <c r="F173" s="9">
        <v>13197.2</v>
      </c>
      <c r="G173" s="9">
        <v>13197.2</v>
      </c>
      <c r="H173" s="21"/>
    </row>
    <row r="174" spans="1:8" ht="26.25" customHeight="1" x14ac:dyDescent="0.25">
      <c r="A174" s="7" t="s">
        <v>365</v>
      </c>
      <c r="B174" s="8" t="s">
        <v>280</v>
      </c>
      <c r="C174" s="8"/>
      <c r="D174" s="8"/>
      <c r="E174" s="9">
        <f>E175+E177</f>
        <v>1663.6</v>
      </c>
      <c r="F174" s="9">
        <f t="shared" ref="F174:G174" si="85">F175+F177</f>
        <v>1663.6</v>
      </c>
      <c r="G174" s="9">
        <f t="shared" si="85"/>
        <v>1663.6</v>
      </c>
      <c r="H174" s="21"/>
    </row>
    <row r="175" spans="1:8" ht="26.4" x14ac:dyDescent="0.25">
      <c r="A175" s="7" t="s">
        <v>118</v>
      </c>
      <c r="B175" s="8" t="s">
        <v>280</v>
      </c>
      <c r="C175" s="8" t="s">
        <v>0</v>
      </c>
      <c r="D175" s="8"/>
      <c r="E175" s="9">
        <f>E176</f>
        <v>1402.6</v>
      </c>
      <c r="F175" s="9">
        <f t="shared" ref="F175:G175" si="86">F176</f>
        <v>1402.6</v>
      </c>
      <c r="G175" s="9">
        <f t="shared" si="86"/>
        <v>1402.6</v>
      </c>
      <c r="H175" s="21"/>
    </row>
    <row r="176" spans="1:8" x14ac:dyDescent="0.25">
      <c r="A176" s="7" t="s">
        <v>156</v>
      </c>
      <c r="B176" s="8" t="s">
        <v>280</v>
      </c>
      <c r="C176" s="8" t="s">
        <v>0</v>
      </c>
      <c r="D176" s="8" t="s">
        <v>35</v>
      </c>
      <c r="E176" s="9">
        <v>1402.6</v>
      </c>
      <c r="F176" s="9">
        <v>1402.6</v>
      </c>
      <c r="G176" s="9">
        <v>1402.6</v>
      </c>
      <c r="H176" s="21"/>
    </row>
    <row r="177" spans="1:8" ht="15.75" customHeight="1" x14ac:dyDescent="0.25">
      <c r="A177" s="7" t="s">
        <v>119</v>
      </c>
      <c r="B177" s="8" t="s">
        <v>280</v>
      </c>
      <c r="C177" s="8" t="s">
        <v>2</v>
      </c>
      <c r="D177" s="8"/>
      <c r="E177" s="9">
        <f>E178</f>
        <v>261</v>
      </c>
      <c r="F177" s="9">
        <f t="shared" ref="F177:G177" si="87">F178</f>
        <v>261</v>
      </c>
      <c r="G177" s="9">
        <f t="shared" si="87"/>
        <v>261</v>
      </c>
      <c r="H177" s="21"/>
    </row>
    <row r="178" spans="1:8" x14ac:dyDescent="0.25">
      <c r="A178" s="7" t="s">
        <v>156</v>
      </c>
      <c r="B178" s="8" t="s">
        <v>280</v>
      </c>
      <c r="C178" s="8" t="s">
        <v>2</v>
      </c>
      <c r="D178" s="8" t="s">
        <v>35</v>
      </c>
      <c r="E178" s="9">
        <v>261</v>
      </c>
      <c r="F178" s="9">
        <v>261</v>
      </c>
      <c r="G178" s="9">
        <v>261</v>
      </c>
      <c r="H178" s="21"/>
    </row>
    <row r="179" spans="1:8" ht="68.400000000000006" customHeight="1" x14ac:dyDescent="0.25">
      <c r="A179" s="7" t="s">
        <v>395</v>
      </c>
      <c r="B179" s="8" t="s">
        <v>50</v>
      </c>
      <c r="C179" s="8"/>
      <c r="D179" s="8"/>
      <c r="E179" s="9">
        <f>E180</f>
        <v>174.6</v>
      </c>
      <c r="F179" s="9">
        <f t="shared" ref="F179:G179" si="88">F180</f>
        <v>174.6</v>
      </c>
      <c r="G179" s="9">
        <f t="shared" si="88"/>
        <v>174.6</v>
      </c>
      <c r="H179" s="21"/>
    </row>
    <row r="180" spans="1:8" ht="26.4" x14ac:dyDescent="0.25">
      <c r="A180" s="7" t="s">
        <v>118</v>
      </c>
      <c r="B180" s="8" t="s">
        <v>50</v>
      </c>
      <c r="C180" s="8" t="s">
        <v>0</v>
      </c>
      <c r="D180" s="8"/>
      <c r="E180" s="9">
        <f>E181</f>
        <v>174.6</v>
      </c>
      <c r="F180" s="9">
        <f t="shared" ref="F180:G180" si="89">F181</f>
        <v>174.6</v>
      </c>
      <c r="G180" s="9">
        <f t="shared" si="89"/>
        <v>174.6</v>
      </c>
      <c r="H180" s="21"/>
    </row>
    <row r="181" spans="1:8" x14ac:dyDescent="0.25">
      <c r="A181" s="7" t="s">
        <v>162</v>
      </c>
      <c r="B181" s="8" t="s">
        <v>50</v>
      </c>
      <c r="C181" s="8" t="s">
        <v>0</v>
      </c>
      <c r="D181" s="8" t="s">
        <v>51</v>
      </c>
      <c r="E181" s="9">
        <v>174.6</v>
      </c>
      <c r="F181" s="9">
        <v>174.6</v>
      </c>
      <c r="G181" s="9">
        <v>174.6</v>
      </c>
      <c r="H181" s="21"/>
    </row>
    <row r="182" spans="1:8" ht="39.6" x14ac:dyDescent="0.25">
      <c r="A182" s="7" t="s">
        <v>326</v>
      </c>
      <c r="B182" s="8" t="s">
        <v>52</v>
      </c>
      <c r="C182" s="8"/>
      <c r="D182" s="8"/>
      <c r="E182" s="9">
        <f>E183</f>
        <v>46900.4</v>
      </c>
      <c r="F182" s="9">
        <f t="shared" ref="F182:G182" si="90">F183</f>
        <v>45866.600000000006</v>
      </c>
      <c r="G182" s="9">
        <f t="shared" si="90"/>
        <v>45466.1</v>
      </c>
      <c r="H182" s="21"/>
    </row>
    <row r="183" spans="1:8" ht="26.4" x14ac:dyDescent="0.25">
      <c r="A183" s="7" t="s">
        <v>118</v>
      </c>
      <c r="B183" s="8" t="s">
        <v>52</v>
      </c>
      <c r="C183" s="8" t="s">
        <v>0</v>
      </c>
      <c r="D183" s="8"/>
      <c r="E183" s="9">
        <f>E184</f>
        <v>46900.4</v>
      </c>
      <c r="F183" s="9">
        <f t="shared" ref="F183:G183" si="91">F184</f>
        <v>45866.600000000006</v>
      </c>
      <c r="G183" s="9">
        <f t="shared" si="91"/>
        <v>45466.1</v>
      </c>
      <c r="H183" s="21"/>
    </row>
    <row r="184" spans="1:8" x14ac:dyDescent="0.25">
      <c r="A184" s="7" t="s">
        <v>156</v>
      </c>
      <c r="B184" s="8" t="s">
        <v>52</v>
      </c>
      <c r="C184" s="8" t="s">
        <v>0</v>
      </c>
      <c r="D184" s="8" t="s">
        <v>35</v>
      </c>
      <c r="E184" s="9">
        <f>33153.7+10904.3+2842.5-0.1</f>
        <v>46900.4</v>
      </c>
      <c r="F184" s="9">
        <f>32422.8+10664+2779.8</f>
        <v>45866.600000000006</v>
      </c>
      <c r="G184" s="9">
        <f>32139.7+10570.9+2755.6-0.1</f>
        <v>45466.1</v>
      </c>
      <c r="H184" s="21"/>
    </row>
    <row r="185" spans="1:8" ht="39" customHeight="1" x14ac:dyDescent="0.25">
      <c r="A185" s="7" t="s">
        <v>457</v>
      </c>
      <c r="B185" s="8" t="s">
        <v>456</v>
      </c>
      <c r="C185" s="8"/>
      <c r="D185" s="8"/>
      <c r="E185" s="9">
        <f>E186</f>
        <v>2300</v>
      </c>
      <c r="F185" s="9">
        <f t="shared" ref="F185:G185" si="92">F186</f>
        <v>0</v>
      </c>
      <c r="G185" s="9">
        <f t="shared" si="92"/>
        <v>0</v>
      </c>
      <c r="H185" s="21"/>
    </row>
    <row r="186" spans="1:8" ht="26.4" x14ac:dyDescent="0.25">
      <c r="A186" s="7" t="s">
        <v>118</v>
      </c>
      <c r="B186" s="8" t="s">
        <v>456</v>
      </c>
      <c r="C186" s="8" t="s">
        <v>0</v>
      </c>
      <c r="D186" s="8"/>
      <c r="E186" s="9">
        <f>E187</f>
        <v>2300</v>
      </c>
      <c r="F186" s="9">
        <f t="shared" ref="F186:G186" si="93">F187</f>
        <v>0</v>
      </c>
      <c r="G186" s="9">
        <f t="shared" si="93"/>
        <v>0</v>
      </c>
      <c r="H186" s="21"/>
    </row>
    <row r="187" spans="1:8" x14ac:dyDescent="0.25">
      <c r="A187" s="7" t="s">
        <v>156</v>
      </c>
      <c r="B187" s="8" t="s">
        <v>456</v>
      </c>
      <c r="C187" s="8" t="s">
        <v>0</v>
      </c>
      <c r="D187" s="8" t="s">
        <v>35</v>
      </c>
      <c r="E187" s="9">
        <f>2300</f>
        <v>2300</v>
      </c>
      <c r="F187" s="9">
        <f>0</f>
        <v>0</v>
      </c>
      <c r="G187" s="9">
        <f>0</f>
        <v>0</v>
      </c>
      <c r="H187" s="21"/>
    </row>
    <row r="188" spans="1:8" ht="27.75" customHeight="1" x14ac:dyDescent="0.25">
      <c r="A188" s="7" t="s">
        <v>459</v>
      </c>
      <c r="B188" s="8" t="s">
        <v>458</v>
      </c>
      <c r="C188" s="8"/>
      <c r="D188" s="8"/>
      <c r="E188" s="9">
        <f>E189</f>
        <v>500</v>
      </c>
      <c r="F188" s="9">
        <f t="shared" ref="F188:G188" si="94">F189</f>
        <v>0</v>
      </c>
      <c r="G188" s="9">
        <f t="shared" si="94"/>
        <v>0</v>
      </c>
      <c r="H188" s="21"/>
    </row>
    <row r="189" spans="1:8" ht="26.4" x14ac:dyDescent="0.25">
      <c r="A189" s="7" t="s">
        <v>118</v>
      </c>
      <c r="B189" s="8" t="s">
        <v>458</v>
      </c>
      <c r="C189" s="8" t="s">
        <v>0</v>
      </c>
      <c r="D189" s="8"/>
      <c r="E189" s="9">
        <f>E190</f>
        <v>500</v>
      </c>
      <c r="F189" s="9">
        <f t="shared" ref="F189:G189" si="95">F190</f>
        <v>0</v>
      </c>
      <c r="G189" s="9">
        <f t="shared" si="95"/>
        <v>0</v>
      </c>
      <c r="H189" s="21"/>
    </row>
    <row r="190" spans="1:8" x14ac:dyDescent="0.25">
      <c r="A190" s="7" t="s">
        <v>156</v>
      </c>
      <c r="B190" s="8" t="s">
        <v>458</v>
      </c>
      <c r="C190" s="8" t="s">
        <v>0</v>
      </c>
      <c r="D190" s="8" t="s">
        <v>35</v>
      </c>
      <c r="E190" s="9">
        <f>500</f>
        <v>500</v>
      </c>
      <c r="F190" s="9">
        <f>0</f>
        <v>0</v>
      </c>
      <c r="G190" s="9">
        <f>0</f>
        <v>0</v>
      </c>
      <c r="H190" s="21"/>
    </row>
    <row r="191" spans="1:8" ht="39.75" customHeight="1" x14ac:dyDescent="0.25">
      <c r="A191" s="7" t="s">
        <v>461</v>
      </c>
      <c r="B191" s="8" t="s">
        <v>460</v>
      </c>
      <c r="C191" s="8"/>
      <c r="D191" s="8"/>
      <c r="E191" s="9">
        <f>E192</f>
        <v>1000</v>
      </c>
      <c r="F191" s="9">
        <f t="shared" ref="F191:G191" si="96">F192</f>
        <v>0</v>
      </c>
      <c r="G191" s="9">
        <f t="shared" si="96"/>
        <v>0</v>
      </c>
      <c r="H191" s="21"/>
    </row>
    <row r="192" spans="1:8" ht="26.4" x14ac:dyDescent="0.25">
      <c r="A192" s="7" t="s">
        <v>118</v>
      </c>
      <c r="B192" s="8" t="s">
        <v>460</v>
      </c>
      <c r="C192" s="8" t="s">
        <v>0</v>
      </c>
      <c r="D192" s="8"/>
      <c r="E192" s="9">
        <f>E193</f>
        <v>1000</v>
      </c>
      <c r="F192" s="9">
        <f t="shared" ref="F192:G192" si="97">F193</f>
        <v>0</v>
      </c>
      <c r="G192" s="9">
        <f t="shared" si="97"/>
        <v>0</v>
      </c>
      <c r="H192" s="21"/>
    </row>
    <row r="193" spans="1:8" ht="15.6" customHeight="1" x14ac:dyDescent="0.25">
      <c r="A193" s="7" t="s">
        <v>156</v>
      </c>
      <c r="B193" s="8" t="s">
        <v>460</v>
      </c>
      <c r="C193" s="8" t="s">
        <v>0</v>
      </c>
      <c r="D193" s="8" t="s">
        <v>35</v>
      </c>
      <c r="E193" s="9">
        <f>1000</f>
        <v>1000</v>
      </c>
      <c r="F193" s="9">
        <f>0</f>
        <v>0</v>
      </c>
      <c r="G193" s="9">
        <f>0</f>
        <v>0</v>
      </c>
      <c r="H193" s="21"/>
    </row>
    <row r="194" spans="1:8" ht="29.4" customHeight="1" x14ac:dyDescent="0.25">
      <c r="A194" s="7" t="s">
        <v>463</v>
      </c>
      <c r="B194" s="8" t="s">
        <v>462</v>
      </c>
      <c r="C194" s="8"/>
      <c r="D194" s="8"/>
      <c r="E194" s="9">
        <f>E195</f>
        <v>1150</v>
      </c>
      <c r="F194" s="9">
        <f t="shared" ref="F194:G194" si="98">F195</f>
        <v>0</v>
      </c>
      <c r="G194" s="9">
        <f t="shared" si="98"/>
        <v>0</v>
      </c>
      <c r="H194" s="21"/>
    </row>
    <row r="195" spans="1:8" ht="27.6" customHeight="1" x14ac:dyDescent="0.25">
      <c r="A195" s="7" t="s">
        <v>118</v>
      </c>
      <c r="B195" s="8" t="s">
        <v>462</v>
      </c>
      <c r="C195" s="8" t="s">
        <v>0</v>
      </c>
      <c r="D195" s="8"/>
      <c r="E195" s="9">
        <f>E196</f>
        <v>1150</v>
      </c>
      <c r="F195" s="9">
        <f t="shared" ref="F195:G195" si="99">F196</f>
        <v>0</v>
      </c>
      <c r="G195" s="9">
        <f t="shared" si="99"/>
        <v>0</v>
      </c>
      <c r="H195" s="21"/>
    </row>
    <row r="196" spans="1:8" ht="16.2" customHeight="1" x14ac:dyDescent="0.25">
      <c r="A196" s="7" t="s">
        <v>156</v>
      </c>
      <c r="B196" s="8" t="s">
        <v>462</v>
      </c>
      <c r="C196" s="8" t="s">
        <v>0</v>
      </c>
      <c r="D196" s="8" t="s">
        <v>35</v>
      </c>
      <c r="E196" s="9">
        <f>1150</f>
        <v>1150</v>
      </c>
      <c r="F196" s="9">
        <f>0</f>
        <v>0</v>
      </c>
      <c r="G196" s="9">
        <f>0</f>
        <v>0</v>
      </c>
      <c r="H196" s="21"/>
    </row>
    <row r="197" spans="1:8" ht="27.75" customHeight="1" x14ac:dyDescent="0.25">
      <c r="A197" s="7" t="s">
        <v>465</v>
      </c>
      <c r="B197" s="8" t="s">
        <v>464</v>
      </c>
      <c r="C197" s="8"/>
      <c r="D197" s="8"/>
      <c r="E197" s="9">
        <f>E198</f>
        <v>1700</v>
      </c>
      <c r="F197" s="9">
        <f t="shared" ref="F197:G197" si="100">F198</f>
        <v>0</v>
      </c>
      <c r="G197" s="9">
        <f t="shared" si="100"/>
        <v>0</v>
      </c>
      <c r="H197" s="21"/>
    </row>
    <row r="198" spans="1:8" ht="26.4" x14ac:dyDescent="0.25">
      <c r="A198" s="7" t="s">
        <v>118</v>
      </c>
      <c r="B198" s="8" t="s">
        <v>464</v>
      </c>
      <c r="C198" s="8" t="s">
        <v>0</v>
      </c>
      <c r="D198" s="8"/>
      <c r="E198" s="9">
        <f>E199</f>
        <v>1700</v>
      </c>
      <c r="F198" s="9">
        <f t="shared" ref="F198:G198" si="101">F199</f>
        <v>0</v>
      </c>
      <c r="G198" s="9">
        <f t="shared" si="101"/>
        <v>0</v>
      </c>
      <c r="H198" s="21"/>
    </row>
    <row r="199" spans="1:8" x14ac:dyDescent="0.25">
      <c r="A199" s="7" t="s">
        <v>156</v>
      </c>
      <c r="B199" s="8" t="s">
        <v>464</v>
      </c>
      <c r="C199" s="8" t="s">
        <v>0</v>
      </c>
      <c r="D199" s="8" t="s">
        <v>35</v>
      </c>
      <c r="E199" s="9">
        <f>1700</f>
        <v>1700</v>
      </c>
      <c r="F199" s="9">
        <f>0</f>
        <v>0</v>
      </c>
      <c r="G199" s="9">
        <f>0</f>
        <v>0</v>
      </c>
      <c r="H199" s="21"/>
    </row>
    <row r="200" spans="1:8" ht="38.25" customHeight="1" x14ac:dyDescent="0.25">
      <c r="A200" s="7" t="s">
        <v>467</v>
      </c>
      <c r="B200" s="8" t="s">
        <v>466</v>
      </c>
      <c r="C200" s="8"/>
      <c r="D200" s="8"/>
      <c r="E200" s="9">
        <f>E201</f>
        <v>2200</v>
      </c>
      <c r="F200" s="9">
        <f t="shared" ref="F200:G200" si="102">F201</f>
        <v>0</v>
      </c>
      <c r="G200" s="9">
        <f t="shared" si="102"/>
        <v>0</v>
      </c>
      <c r="H200" s="21"/>
    </row>
    <row r="201" spans="1:8" ht="26.4" x14ac:dyDescent="0.25">
      <c r="A201" s="7" t="s">
        <v>118</v>
      </c>
      <c r="B201" s="8" t="s">
        <v>466</v>
      </c>
      <c r="C201" s="8" t="s">
        <v>0</v>
      </c>
      <c r="D201" s="8"/>
      <c r="E201" s="9">
        <f>E202</f>
        <v>2200</v>
      </c>
      <c r="F201" s="9">
        <f t="shared" ref="F201:G201" si="103">F202</f>
        <v>0</v>
      </c>
      <c r="G201" s="9">
        <f t="shared" si="103"/>
        <v>0</v>
      </c>
      <c r="H201" s="21"/>
    </row>
    <row r="202" spans="1:8" x14ac:dyDescent="0.25">
      <c r="A202" s="7" t="s">
        <v>156</v>
      </c>
      <c r="B202" s="8" t="s">
        <v>466</v>
      </c>
      <c r="C202" s="8" t="s">
        <v>0</v>
      </c>
      <c r="D202" s="8" t="s">
        <v>35</v>
      </c>
      <c r="E202" s="9">
        <f>2200</f>
        <v>2200</v>
      </c>
      <c r="F202" s="9">
        <f>0</f>
        <v>0</v>
      </c>
      <c r="G202" s="9">
        <f>0</f>
        <v>0</v>
      </c>
      <c r="H202" s="21"/>
    </row>
    <row r="203" spans="1:8" ht="64.5" customHeight="1" x14ac:dyDescent="0.25">
      <c r="A203" s="7" t="s">
        <v>396</v>
      </c>
      <c r="B203" s="8" t="s">
        <v>366</v>
      </c>
      <c r="C203" s="8"/>
      <c r="D203" s="8"/>
      <c r="E203" s="9">
        <f>E204</f>
        <v>2955.7</v>
      </c>
      <c r="F203" s="9">
        <f t="shared" ref="F203:G203" si="104">F204</f>
        <v>206.9</v>
      </c>
      <c r="G203" s="9">
        <f t="shared" si="104"/>
        <v>206.9</v>
      </c>
      <c r="H203" s="21"/>
    </row>
    <row r="204" spans="1:8" ht="26.4" x14ac:dyDescent="0.25">
      <c r="A204" s="7" t="s">
        <v>118</v>
      </c>
      <c r="B204" s="8" t="s">
        <v>366</v>
      </c>
      <c r="C204" s="8" t="s">
        <v>0</v>
      </c>
      <c r="D204" s="8"/>
      <c r="E204" s="9">
        <f>E205</f>
        <v>2955.7</v>
      </c>
      <c r="F204" s="9">
        <f t="shared" ref="F204:G204" si="105">F205</f>
        <v>206.9</v>
      </c>
      <c r="G204" s="9">
        <f t="shared" si="105"/>
        <v>206.9</v>
      </c>
      <c r="H204" s="21"/>
    </row>
    <row r="205" spans="1:8" x14ac:dyDescent="0.25">
      <c r="A205" s="7" t="s">
        <v>156</v>
      </c>
      <c r="B205" s="8" t="s">
        <v>366</v>
      </c>
      <c r="C205" s="8" t="s">
        <v>0</v>
      </c>
      <c r="D205" s="8" t="s">
        <v>35</v>
      </c>
      <c r="E205" s="9">
        <v>2955.7</v>
      </c>
      <c r="F205" s="9">
        <v>206.9</v>
      </c>
      <c r="G205" s="9">
        <v>206.9</v>
      </c>
      <c r="H205" s="21"/>
    </row>
    <row r="206" spans="1:8" ht="39" customHeight="1" x14ac:dyDescent="0.25">
      <c r="A206" s="7" t="s">
        <v>469</v>
      </c>
      <c r="B206" s="8" t="s">
        <v>468</v>
      </c>
      <c r="C206" s="8"/>
      <c r="D206" s="8"/>
      <c r="E206" s="9">
        <f>E207</f>
        <v>5300</v>
      </c>
      <c r="F206" s="9">
        <f t="shared" ref="F206:G206" si="106">F207</f>
        <v>0</v>
      </c>
      <c r="G206" s="9">
        <f t="shared" si="106"/>
        <v>0</v>
      </c>
      <c r="H206" s="21"/>
    </row>
    <row r="207" spans="1:8" ht="26.4" x14ac:dyDescent="0.25">
      <c r="A207" s="7" t="s">
        <v>118</v>
      </c>
      <c r="B207" s="8" t="s">
        <v>468</v>
      </c>
      <c r="C207" s="8" t="s">
        <v>0</v>
      </c>
      <c r="D207" s="8"/>
      <c r="E207" s="9">
        <f>E208</f>
        <v>5300</v>
      </c>
      <c r="F207" s="9">
        <f t="shared" ref="F207:G207" si="107">F208</f>
        <v>0</v>
      </c>
      <c r="G207" s="9">
        <f t="shared" si="107"/>
        <v>0</v>
      </c>
      <c r="H207" s="21"/>
    </row>
    <row r="208" spans="1:8" ht="15" customHeight="1" x14ac:dyDescent="0.25">
      <c r="A208" s="7" t="s">
        <v>156</v>
      </c>
      <c r="B208" s="8" t="s">
        <v>468</v>
      </c>
      <c r="C208" s="8" t="s">
        <v>0</v>
      </c>
      <c r="D208" s="8" t="s">
        <v>35</v>
      </c>
      <c r="E208" s="9">
        <f>5300</f>
        <v>5300</v>
      </c>
      <c r="F208" s="9">
        <f>0</f>
        <v>0</v>
      </c>
      <c r="G208" s="9">
        <f>0</f>
        <v>0</v>
      </c>
      <c r="H208" s="21"/>
    </row>
    <row r="209" spans="1:8" ht="26.4" x14ac:dyDescent="0.25">
      <c r="A209" s="7" t="s">
        <v>26</v>
      </c>
      <c r="B209" s="8" t="s">
        <v>53</v>
      </c>
      <c r="C209" s="8"/>
      <c r="D209" s="8"/>
      <c r="E209" s="9">
        <f>E210</f>
        <v>5653.6</v>
      </c>
      <c r="F209" s="9">
        <f>F210</f>
        <v>5415.2000000000007</v>
      </c>
      <c r="G209" s="9">
        <f t="shared" ref="G209" si="108">G210</f>
        <v>5648.6</v>
      </c>
      <c r="H209" s="21"/>
    </row>
    <row r="210" spans="1:8" ht="26.4" x14ac:dyDescent="0.25">
      <c r="A210" s="7" t="s">
        <v>118</v>
      </c>
      <c r="B210" s="8" t="s">
        <v>53</v>
      </c>
      <c r="C210" s="8" t="s">
        <v>0</v>
      </c>
      <c r="D210" s="8"/>
      <c r="E210" s="9">
        <f>E211</f>
        <v>5653.6</v>
      </c>
      <c r="F210" s="9">
        <f t="shared" ref="F210:G210" si="109">F211</f>
        <v>5415.2000000000007</v>
      </c>
      <c r="G210" s="9">
        <f t="shared" si="109"/>
        <v>5648.6</v>
      </c>
      <c r="H210" s="21"/>
    </row>
    <row r="211" spans="1:8" x14ac:dyDescent="0.25">
      <c r="A211" s="7" t="s">
        <v>156</v>
      </c>
      <c r="B211" s="8" t="s">
        <v>53</v>
      </c>
      <c r="C211" s="8" t="s">
        <v>0</v>
      </c>
      <c r="D211" s="8" t="s">
        <v>35</v>
      </c>
      <c r="E211" s="9">
        <v>5653.6</v>
      </c>
      <c r="F211" s="9">
        <f>5415.1+0.1</f>
        <v>5415.2000000000007</v>
      </c>
      <c r="G211" s="9">
        <v>5648.6</v>
      </c>
      <c r="H211" s="21"/>
    </row>
    <row r="212" spans="1:8" ht="26.4" x14ac:dyDescent="0.25">
      <c r="A212" s="7" t="s">
        <v>54</v>
      </c>
      <c r="B212" s="8" t="s">
        <v>55</v>
      </c>
      <c r="C212" s="8"/>
      <c r="D212" s="8"/>
      <c r="E212" s="9">
        <f>E213+E215</f>
        <v>16084.4</v>
      </c>
      <c r="F212" s="9">
        <f t="shared" ref="F212:G212" si="110">F213+F215</f>
        <v>13127.8</v>
      </c>
      <c r="G212" s="9">
        <f t="shared" si="110"/>
        <v>15714</v>
      </c>
      <c r="H212" s="21"/>
    </row>
    <row r="213" spans="1:8" ht="26.4" x14ac:dyDescent="0.25">
      <c r="A213" s="7" t="s">
        <v>118</v>
      </c>
      <c r="B213" s="8" t="s">
        <v>55</v>
      </c>
      <c r="C213" s="8" t="s">
        <v>0</v>
      </c>
      <c r="D213" s="8"/>
      <c r="E213" s="9">
        <f>E214</f>
        <v>15216.4</v>
      </c>
      <c r="F213" s="9">
        <f t="shared" ref="F213:G213" si="111">F214</f>
        <v>12259.8</v>
      </c>
      <c r="G213" s="9">
        <f t="shared" si="111"/>
        <v>14846</v>
      </c>
      <c r="H213" s="21"/>
    </row>
    <row r="214" spans="1:8" ht="13.95" customHeight="1" x14ac:dyDescent="0.25">
      <c r="A214" s="7" t="s">
        <v>156</v>
      </c>
      <c r="B214" s="8" t="s">
        <v>55</v>
      </c>
      <c r="C214" s="8" t="s">
        <v>0</v>
      </c>
      <c r="D214" s="8" t="s">
        <v>35</v>
      </c>
      <c r="E214" s="9">
        <f>15216.4</f>
        <v>15216.4</v>
      </c>
      <c r="F214" s="9">
        <f>12259.8</f>
        <v>12259.8</v>
      </c>
      <c r="G214" s="9">
        <f>14846</f>
        <v>14846</v>
      </c>
      <c r="H214" s="21"/>
    </row>
    <row r="215" spans="1:8" ht="13.95" customHeight="1" x14ac:dyDescent="0.25">
      <c r="A215" s="7" t="s">
        <v>119</v>
      </c>
      <c r="B215" s="8" t="s">
        <v>55</v>
      </c>
      <c r="C215" s="8" t="s">
        <v>2</v>
      </c>
      <c r="D215" s="8"/>
      <c r="E215" s="9">
        <f>E216</f>
        <v>868</v>
      </c>
      <c r="F215" s="9">
        <f t="shared" ref="F215:G215" si="112">F216</f>
        <v>868</v>
      </c>
      <c r="G215" s="9">
        <f t="shared" si="112"/>
        <v>868</v>
      </c>
      <c r="H215" s="21"/>
    </row>
    <row r="216" spans="1:8" x14ac:dyDescent="0.25">
      <c r="A216" s="7" t="s">
        <v>156</v>
      </c>
      <c r="B216" s="8" t="s">
        <v>55</v>
      </c>
      <c r="C216" s="8" t="s">
        <v>2</v>
      </c>
      <c r="D216" s="8" t="s">
        <v>35</v>
      </c>
      <c r="E216" s="9">
        <v>868</v>
      </c>
      <c r="F216" s="9">
        <v>868</v>
      </c>
      <c r="G216" s="9">
        <v>868</v>
      </c>
      <c r="H216" s="21"/>
    </row>
    <row r="217" spans="1:8" ht="43.95" customHeight="1" x14ac:dyDescent="0.25">
      <c r="A217" s="7" t="s">
        <v>413</v>
      </c>
      <c r="B217" s="8" t="s">
        <v>412</v>
      </c>
      <c r="C217" s="8"/>
      <c r="D217" s="8"/>
      <c r="E217" s="9">
        <f>E218</f>
        <v>4532.5</v>
      </c>
      <c r="F217" s="9">
        <f t="shared" ref="F217:G217" si="113">F218</f>
        <v>0</v>
      </c>
      <c r="G217" s="9">
        <f t="shared" si="113"/>
        <v>0</v>
      </c>
      <c r="H217" s="21"/>
    </row>
    <row r="218" spans="1:8" ht="30.6" customHeight="1" x14ac:dyDescent="0.25">
      <c r="A218" s="7" t="s">
        <v>118</v>
      </c>
      <c r="B218" s="8" t="s">
        <v>412</v>
      </c>
      <c r="C218" s="8" t="s">
        <v>0</v>
      </c>
      <c r="D218" s="8"/>
      <c r="E218" s="9">
        <f>E219</f>
        <v>4532.5</v>
      </c>
      <c r="F218" s="9">
        <f t="shared" ref="F218:G218" si="114">F219</f>
        <v>0</v>
      </c>
      <c r="G218" s="9">
        <f t="shared" si="114"/>
        <v>0</v>
      </c>
      <c r="H218" s="21"/>
    </row>
    <row r="219" spans="1:8" ht="18" customHeight="1" x14ac:dyDescent="0.25">
      <c r="A219" s="7" t="s">
        <v>156</v>
      </c>
      <c r="B219" s="8" t="s">
        <v>412</v>
      </c>
      <c r="C219" s="8" t="s">
        <v>0</v>
      </c>
      <c r="D219" s="8" t="s">
        <v>35</v>
      </c>
      <c r="E219" s="9">
        <v>4532.5</v>
      </c>
      <c r="F219" s="9">
        <v>0</v>
      </c>
      <c r="G219" s="9">
        <v>0</v>
      </c>
      <c r="H219" s="21"/>
    </row>
    <row r="220" spans="1:8" ht="55.95" customHeight="1" x14ac:dyDescent="0.25">
      <c r="A220" s="7" t="s">
        <v>367</v>
      </c>
      <c r="B220" s="8" t="s">
        <v>368</v>
      </c>
      <c r="C220" s="8"/>
      <c r="D220" s="8"/>
      <c r="E220" s="9">
        <f>E221</f>
        <v>4615.8</v>
      </c>
      <c r="F220" s="9">
        <f t="shared" ref="F220:G220" si="115">F221</f>
        <v>4614.5</v>
      </c>
      <c r="G220" s="9">
        <f t="shared" si="115"/>
        <v>5568</v>
      </c>
      <c r="H220" s="21"/>
    </row>
    <row r="221" spans="1:8" ht="47.4" customHeight="1" x14ac:dyDescent="0.25">
      <c r="A221" s="7" t="s">
        <v>163</v>
      </c>
      <c r="B221" s="8" t="s">
        <v>368</v>
      </c>
      <c r="C221" s="8" t="s">
        <v>4</v>
      </c>
      <c r="D221" s="8"/>
      <c r="E221" s="9">
        <f>E222</f>
        <v>4615.8</v>
      </c>
      <c r="F221" s="9">
        <f t="shared" ref="F221:G221" si="116">F222</f>
        <v>4614.5</v>
      </c>
      <c r="G221" s="9">
        <f t="shared" si="116"/>
        <v>5568</v>
      </c>
      <c r="H221" s="21"/>
    </row>
    <row r="222" spans="1:8" ht="18" customHeight="1" x14ac:dyDescent="0.25">
      <c r="A222" s="7" t="s">
        <v>160</v>
      </c>
      <c r="B222" s="8" t="s">
        <v>368</v>
      </c>
      <c r="C222" s="8" t="s">
        <v>4</v>
      </c>
      <c r="D222" s="8" t="s">
        <v>40</v>
      </c>
      <c r="E222" s="9">
        <f>4615.8</f>
        <v>4615.8</v>
      </c>
      <c r="F222" s="9">
        <f>4614.5</f>
        <v>4614.5</v>
      </c>
      <c r="G222" s="9">
        <f>5568</f>
        <v>5568</v>
      </c>
      <c r="H222" s="21"/>
    </row>
    <row r="223" spans="1:8" ht="41.4" customHeight="1" x14ac:dyDescent="0.25">
      <c r="A223" s="7" t="s">
        <v>369</v>
      </c>
      <c r="B223" s="8" t="s">
        <v>56</v>
      </c>
      <c r="C223" s="8"/>
      <c r="D223" s="8"/>
      <c r="E223" s="9">
        <f>E224+E226+E228+E230</f>
        <v>173641.5</v>
      </c>
      <c r="F223" s="9">
        <f>F224+F226+F228+F230</f>
        <v>98915.199999999997</v>
      </c>
      <c r="G223" s="9">
        <f>G224+G226+G228+G230</f>
        <v>105216.5</v>
      </c>
      <c r="H223" s="22"/>
    </row>
    <row r="224" spans="1:8" ht="40.200000000000003" customHeight="1" x14ac:dyDescent="0.25">
      <c r="A224" s="7" t="s">
        <v>163</v>
      </c>
      <c r="B224" s="8" t="s">
        <v>56</v>
      </c>
      <c r="C224" s="8" t="s">
        <v>4</v>
      </c>
      <c r="D224" s="8"/>
      <c r="E224" s="9">
        <f>E225</f>
        <v>56891.5</v>
      </c>
      <c r="F224" s="9">
        <f t="shared" ref="F224:G224" si="117">F225</f>
        <v>25916</v>
      </c>
      <c r="G224" s="9">
        <f t="shared" si="117"/>
        <v>29724.9</v>
      </c>
      <c r="H224" s="21"/>
    </row>
    <row r="225" spans="1:8" ht="15.6" customHeight="1" x14ac:dyDescent="0.25">
      <c r="A225" s="7" t="s">
        <v>160</v>
      </c>
      <c r="B225" s="8" t="s">
        <v>56</v>
      </c>
      <c r="C225" s="8" t="s">
        <v>4</v>
      </c>
      <c r="D225" s="8" t="s">
        <v>40</v>
      </c>
      <c r="E225" s="9">
        <f>56891.5</f>
        <v>56891.5</v>
      </c>
      <c r="F225" s="9">
        <f>25916.1-0.1</f>
        <v>25916</v>
      </c>
      <c r="G225" s="9">
        <f>29724.9</f>
        <v>29724.9</v>
      </c>
      <c r="H225" s="21"/>
    </row>
    <row r="226" spans="1:8" ht="27" customHeight="1" x14ac:dyDescent="0.25">
      <c r="A226" s="7" t="s">
        <v>118</v>
      </c>
      <c r="B226" s="8" t="s">
        <v>56</v>
      </c>
      <c r="C226" s="8" t="s">
        <v>0</v>
      </c>
      <c r="D226" s="8"/>
      <c r="E226" s="9">
        <f>E227</f>
        <v>4878.8</v>
      </c>
      <c r="F226" s="9">
        <f t="shared" ref="F226:G226" si="118">F227</f>
        <v>3226.3</v>
      </c>
      <c r="G226" s="9">
        <f t="shared" si="118"/>
        <v>3226.3</v>
      </c>
      <c r="H226" s="21"/>
    </row>
    <row r="227" spans="1:8" x14ac:dyDescent="0.25">
      <c r="A227" s="7" t="s">
        <v>160</v>
      </c>
      <c r="B227" s="8" t="s">
        <v>56</v>
      </c>
      <c r="C227" s="8" t="s">
        <v>0</v>
      </c>
      <c r="D227" s="8" t="s">
        <v>40</v>
      </c>
      <c r="E227" s="9">
        <f>4878.7+0.1</f>
        <v>4878.8</v>
      </c>
      <c r="F227" s="9">
        <f>3226.3</f>
        <v>3226.3</v>
      </c>
      <c r="G227" s="9">
        <f>3226.3</f>
        <v>3226.3</v>
      </c>
      <c r="H227" s="21"/>
    </row>
    <row r="228" spans="1:8" ht="26.4" x14ac:dyDescent="0.25">
      <c r="A228" s="7" t="s">
        <v>158</v>
      </c>
      <c r="B228" s="8" t="s">
        <v>56</v>
      </c>
      <c r="C228" s="8" t="s">
        <v>3</v>
      </c>
      <c r="D228" s="8"/>
      <c r="E228" s="9">
        <f>E229</f>
        <v>111644.5</v>
      </c>
      <c r="F228" s="9">
        <f t="shared" ref="F228:G228" si="119">F229</f>
        <v>69729.899999999994</v>
      </c>
      <c r="G228" s="9">
        <f t="shared" si="119"/>
        <v>72222.3</v>
      </c>
      <c r="H228" s="21"/>
    </row>
    <row r="229" spans="1:8" ht="14.4" customHeight="1" x14ac:dyDescent="0.25">
      <c r="A229" s="7" t="s">
        <v>159</v>
      </c>
      <c r="B229" s="8" t="s">
        <v>56</v>
      </c>
      <c r="C229" s="8" t="s">
        <v>3</v>
      </c>
      <c r="D229" s="8" t="s">
        <v>38</v>
      </c>
      <c r="E229" s="9">
        <f>111644.5</f>
        <v>111644.5</v>
      </c>
      <c r="F229" s="9">
        <f>69729.9</f>
        <v>69729.899999999994</v>
      </c>
      <c r="G229" s="9">
        <f>72222.3</f>
        <v>72222.3</v>
      </c>
      <c r="H229" s="21"/>
    </row>
    <row r="230" spans="1:8" ht="14.4" customHeight="1" x14ac:dyDescent="0.25">
      <c r="A230" s="7" t="s">
        <v>152</v>
      </c>
      <c r="B230" s="8" t="s">
        <v>56</v>
      </c>
      <c r="C230" s="8" t="s">
        <v>1</v>
      </c>
      <c r="D230" s="8"/>
      <c r="E230" s="9">
        <f>E231</f>
        <v>226.7</v>
      </c>
      <c r="F230" s="9">
        <f t="shared" ref="F230:G230" si="120">F231</f>
        <v>43</v>
      </c>
      <c r="G230" s="9">
        <f t="shared" si="120"/>
        <v>43</v>
      </c>
      <c r="H230" s="21"/>
    </row>
    <row r="231" spans="1:8" ht="14.4" customHeight="1" x14ac:dyDescent="0.25">
      <c r="A231" s="7" t="s">
        <v>160</v>
      </c>
      <c r="B231" s="8" t="s">
        <v>56</v>
      </c>
      <c r="C231" s="8" t="s">
        <v>1</v>
      </c>
      <c r="D231" s="8" t="s">
        <v>40</v>
      </c>
      <c r="E231" s="9">
        <f>226.7</f>
        <v>226.7</v>
      </c>
      <c r="F231" s="9">
        <f>43</f>
        <v>43</v>
      </c>
      <c r="G231" s="9">
        <f>43</f>
        <v>43</v>
      </c>
    </row>
    <row r="232" spans="1:8" ht="14.4" customHeight="1" x14ac:dyDescent="0.25">
      <c r="A232" s="7" t="s">
        <v>19</v>
      </c>
      <c r="B232" s="8" t="s">
        <v>57</v>
      </c>
      <c r="C232" s="8"/>
      <c r="D232" s="8"/>
      <c r="E232" s="9">
        <f>E233+E236</f>
        <v>1413.9</v>
      </c>
      <c r="F232" s="9">
        <f>F233+F236</f>
        <v>278.8</v>
      </c>
      <c r="G232" s="9">
        <f>G233+G236</f>
        <v>278.8</v>
      </c>
      <c r="H232" s="21"/>
    </row>
    <row r="233" spans="1:8" ht="66" x14ac:dyDescent="0.25">
      <c r="A233" s="7" t="s">
        <v>370</v>
      </c>
      <c r="B233" s="8" t="s">
        <v>371</v>
      </c>
      <c r="C233" s="8"/>
      <c r="D233" s="8"/>
      <c r="E233" s="9">
        <f>E234</f>
        <v>80</v>
      </c>
      <c r="F233" s="9">
        <f t="shared" ref="F233:G234" si="121">F234</f>
        <v>50</v>
      </c>
      <c r="G233" s="9">
        <f t="shared" si="121"/>
        <v>50</v>
      </c>
      <c r="H233" s="21"/>
    </row>
    <row r="234" spans="1:8" ht="26.4" x14ac:dyDescent="0.25">
      <c r="A234" s="7" t="s">
        <v>118</v>
      </c>
      <c r="B234" s="8" t="s">
        <v>371</v>
      </c>
      <c r="C234" s="8" t="s">
        <v>0</v>
      </c>
      <c r="D234" s="8"/>
      <c r="E234" s="9">
        <f>E235</f>
        <v>80</v>
      </c>
      <c r="F234" s="9">
        <f t="shared" si="121"/>
        <v>50</v>
      </c>
      <c r="G234" s="9">
        <f t="shared" si="121"/>
        <v>50</v>
      </c>
      <c r="H234" s="21"/>
    </row>
    <row r="235" spans="1:8" x14ac:dyDescent="0.25">
      <c r="A235" s="7" t="s">
        <v>156</v>
      </c>
      <c r="B235" s="8" t="s">
        <v>371</v>
      </c>
      <c r="C235" s="8" t="s">
        <v>0</v>
      </c>
      <c r="D235" s="8" t="s">
        <v>35</v>
      </c>
      <c r="E235" s="9">
        <f>80</f>
        <v>80</v>
      </c>
      <c r="F235" s="9">
        <f>50</f>
        <v>50</v>
      </c>
      <c r="G235" s="9">
        <f>50</f>
        <v>50</v>
      </c>
      <c r="H235" s="21"/>
    </row>
    <row r="236" spans="1:8" ht="42" customHeight="1" x14ac:dyDescent="0.25">
      <c r="A236" s="7" t="s">
        <v>372</v>
      </c>
      <c r="B236" s="8" t="s">
        <v>58</v>
      </c>
      <c r="C236" s="8"/>
      <c r="D236" s="8"/>
      <c r="E236" s="9">
        <f>E237+E239+E242+E244</f>
        <v>1333.9</v>
      </c>
      <c r="F236" s="9">
        <f t="shared" ref="F236:G236" si="122">F237+F240+F243+F245</f>
        <v>228.8</v>
      </c>
      <c r="G236" s="9">
        <f t="shared" si="122"/>
        <v>228.8</v>
      </c>
      <c r="H236" s="21"/>
    </row>
    <row r="237" spans="1:8" ht="42.6" customHeight="1" x14ac:dyDescent="0.25">
      <c r="A237" s="7" t="s">
        <v>163</v>
      </c>
      <c r="B237" s="8" t="s">
        <v>58</v>
      </c>
      <c r="C237" s="8" t="s">
        <v>4</v>
      </c>
      <c r="D237" s="8"/>
      <c r="E237" s="9">
        <f>E238</f>
        <v>644.1</v>
      </c>
      <c r="F237" s="9">
        <f t="shared" ref="F237:G237" si="123">F238</f>
        <v>0</v>
      </c>
      <c r="G237" s="9">
        <f t="shared" si="123"/>
        <v>0</v>
      </c>
      <c r="H237" s="21"/>
    </row>
    <row r="238" spans="1:8" ht="16.2" customHeight="1" x14ac:dyDescent="0.25">
      <c r="A238" s="7" t="s">
        <v>156</v>
      </c>
      <c r="B238" s="8" t="s">
        <v>58</v>
      </c>
      <c r="C238" s="8" t="s">
        <v>4</v>
      </c>
      <c r="D238" s="8" t="s">
        <v>35</v>
      </c>
      <c r="E238" s="9">
        <f>644.1</f>
        <v>644.1</v>
      </c>
      <c r="F238" s="9">
        <f>0</f>
        <v>0</v>
      </c>
      <c r="G238" s="9">
        <f>0</f>
        <v>0</v>
      </c>
      <c r="H238" s="21"/>
    </row>
    <row r="239" spans="1:8" ht="26.4" x14ac:dyDescent="0.25">
      <c r="A239" s="7" t="s">
        <v>118</v>
      </c>
      <c r="B239" s="8" t="s">
        <v>58</v>
      </c>
      <c r="C239" s="8" t="s">
        <v>0</v>
      </c>
      <c r="D239" s="8"/>
      <c r="E239" s="9">
        <f>E240+E241</f>
        <v>100</v>
      </c>
      <c r="F239" s="9">
        <f t="shared" ref="F239:G239" si="124">F240+F241</f>
        <v>50</v>
      </c>
      <c r="G239" s="9">
        <f t="shared" si="124"/>
        <v>50</v>
      </c>
      <c r="H239" s="21"/>
    </row>
    <row r="240" spans="1:8" x14ac:dyDescent="0.25">
      <c r="A240" s="7" t="s">
        <v>156</v>
      </c>
      <c r="B240" s="8" t="s">
        <v>58</v>
      </c>
      <c r="C240" s="8" t="s">
        <v>0</v>
      </c>
      <c r="D240" s="8" t="s">
        <v>35</v>
      </c>
      <c r="E240" s="9">
        <v>50</v>
      </c>
      <c r="F240" s="9">
        <v>50</v>
      </c>
      <c r="G240" s="9">
        <v>50</v>
      </c>
      <c r="H240" s="21"/>
    </row>
    <row r="241" spans="1:8" x14ac:dyDescent="0.25">
      <c r="A241" s="7" t="s">
        <v>160</v>
      </c>
      <c r="B241" s="8" t="s">
        <v>58</v>
      </c>
      <c r="C241" s="8" t="s">
        <v>0</v>
      </c>
      <c r="D241" s="8" t="s">
        <v>40</v>
      </c>
      <c r="E241" s="9">
        <f>50</f>
        <v>50</v>
      </c>
      <c r="F241" s="9">
        <f>0</f>
        <v>0</v>
      </c>
      <c r="G241" s="9">
        <f>0</f>
        <v>0</v>
      </c>
      <c r="H241" s="21"/>
    </row>
    <row r="242" spans="1:8" x14ac:dyDescent="0.25">
      <c r="A242" s="7" t="s">
        <v>119</v>
      </c>
      <c r="B242" s="8" t="s">
        <v>58</v>
      </c>
      <c r="C242" s="8" t="s">
        <v>2</v>
      </c>
      <c r="D242" s="8"/>
      <c r="E242" s="9">
        <f>E243</f>
        <v>50</v>
      </c>
      <c r="F242" s="9">
        <f t="shared" ref="F242:G242" si="125">F243</f>
        <v>50</v>
      </c>
      <c r="G242" s="9">
        <f t="shared" si="125"/>
        <v>50</v>
      </c>
      <c r="H242" s="21"/>
    </row>
    <row r="243" spans="1:8" x14ac:dyDescent="0.25">
      <c r="A243" s="7" t="s">
        <v>156</v>
      </c>
      <c r="B243" s="8" t="s">
        <v>58</v>
      </c>
      <c r="C243" s="8" t="s">
        <v>2</v>
      </c>
      <c r="D243" s="8" t="s">
        <v>35</v>
      </c>
      <c r="E243" s="9">
        <v>50</v>
      </c>
      <c r="F243" s="9">
        <v>50</v>
      </c>
      <c r="G243" s="9">
        <v>50</v>
      </c>
      <c r="H243" s="21"/>
    </row>
    <row r="244" spans="1:8" ht="26.4" x14ac:dyDescent="0.25">
      <c r="A244" s="7" t="s">
        <v>158</v>
      </c>
      <c r="B244" s="8" t="s">
        <v>58</v>
      </c>
      <c r="C244" s="8" t="s">
        <v>3</v>
      </c>
      <c r="D244" s="8"/>
      <c r="E244" s="9">
        <f>E245</f>
        <v>539.79999999999995</v>
      </c>
      <c r="F244" s="9">
        <f t="shared" ref="F244:G244" si="126">F245</f>
        <v>128.80000000000001</v>
      </c>
      <c r="G244" s="9">
        <f t="shared" si="126"/>
        <v>128.80000000000001</v>
      </c>
      <c r="H244" s="21"/>
    </row>
    <row r="245" spans="1:8" x14ac:dyDescent="0.25">
      <c r="A245" s="7" t="s">
        <v>159</v>
      </c>
      <c r="B245" s="8" t="s">
        <v>58</v>
      </c>
      <c r="C245" s="8" t="s">
        <v>3</v>
      </c>
      <c r="D245" s="8" t="s">
        <v>38</v>
      </c>
      <c r="E245" s="9">
        <f>539.8</f>
        <v>539.79999999999995</v>
      </c>
      <c r="F245" s="9">
        <v>128.80000000000001</v>
      </c>
      <c r="G245" s="9">
        <v>128.80000000000001</v>
      </c>
      <c r="H245" s="21"/>
    </row>
    <row r="246" spans="1:8" ht="15" customHeight="1" x14ac:dyDescent="0.25">
      <c r="A246" s="7" t="s">
        <v>13</v>
      </c>
      <c r="B246" s="8" t="s">
        <v>59</v>
      </c>
      <c r="C246" s="8"/>
      <c r="D246" s="8"/>
      <c r="E246" s="9">
        <f>E247+E267+E276+E288</f>
        <v>380007.70000000007</v>
      </c>
      <c r="F246" s="9">
        <f>F247+F267+F276+F288</f>
        <v>226282.59999999998</v>
      </c>
      <c r="G246" s="9">
        <f>G247+G267+G276+G288</f>
        <v>207857.7</v>
      </c>
    </row>
    <row r="247" spans="1:8" ht="28.95" customHeight="1" x14ac:dyDescent="0.25">
      <c r="A247" s="7" t="s">
        <v>27</v>
      </c>
      <c r="B247" s="8" t="s">
        <v>60</v>
      </c>
      <c r="C247" s="8"/>
      <c r="D247" s="8"/>
      <c r="E247" s="9">
        <f>E248+E251+E255+E258+E261+E264</f>
        <v>281412.7</v>
      </c>
      <c r="F247" s="9">
        <f t="shared" ref="F247:G247" si="127">F248+F251+F255+F258+F261+F264</f>
        <v>223991.3</v>
      </c>
      <c r="G247" s="9">
        <f t="shared" si="127"/>
        <v>205558.7</v>
      </c>
      <c r="H247" s="21"/>
    </row>
    <row r="248" spans="1:8" ht="45" customHeight="1" x14ac:dyDescent="0.25">
      <c r="A248" s="7" t="s">
        <v>163</v>
      </c>
      <c r="B248" s="8" t="s">
        <v>60</v>
      </c>
      <c r="C248" s="8" t="s">
        <v>4</v>
      </c>
      <c r="D248" s="8"/>
      <c r="E248" s="9">
        <f>E249+E250</f>
        <v>92229.2</v>
      </c>
      <c r="F248" s="9">
        <f t="shared" ref="F248:G248" si="128">F249+F250</f>
        <v>67860.100000000006</v>
      </c>
      <c r="G248" s="9">
        <f t="shared" si="128"/>
        <v>59356.3</v>
      </c>
      <c r="H248" s="21"/>
    </row>
    <row r="249" spans="1:8" ht="15" customHeight="1" x14ac:dyDescent="0.25">
      <c r="A249" s="7" t="s">
        <v>164</v>
      </c>
      <c r="B249" s="8" t="s">
        <v>60</v>
      </c>
      <c r="C249" s="8" t="s">
        <v>4</v>
      </c>
      <c r="D249" s="8" t="s">
        <v>61</v>
      </c>
      <c r="E249" s="9">
        <f>12643+120</f>
        <v>12763</v>
      </c>
      <c r="F249" s="9">
        <f>10081.6</f>
        <v>10081.6</v>
      </c>
      <c r="G249" s="9">
        <f>8860.2</f>
        <v>8860.2000000000007</v>
      </c>
      <c r="H249" s="21"/>
    </row>
    <row r="250" spans="1:8" ht="16.2" customHeight="1" x14ac:dyDescent="0.25">
      <c r="A250" s="7" t="s">
        <v>165</v>
      </c>
      <c r="B250" s="8" t="s">
        <v>60</v>
      </c>
      <c r="C250" s="8" t="s">
        <v>4</v>
      </c>
      <c r="D250" s="8" t="s">
        <v>62</v>
      </c>
      <c r="E250" s="9">
        <f>79466.2</f>
        <v>79466.2</v>
      </c>
      <c r="F250" s="9">
        <f>57778.5</f>
        <v>57778.5</v>
      </c>
      <c r="G250" s="9">
        <f>50496.1</f>
        <v>50496.1</v>
      </c>
      <c r="H250" s="21"/>
    </row>
    <row r="251" spans="1:8" ht="28.95" customHeight="1" x14ac:dyDescent="0.25">
      <c r="A251" s="7" t="s">
        <v>118</v>
      </c>
      <c r="B251" s="8" t="s">
        <v>60</v>
      </c>
      <c r="C251" s="8" t="s">
        <v>0</v>
      </c>
      <c r="D251" s="8"/>
      <c r="E251" s="9">
        <f>E252+E253+E254</f>
        <v>9288.1</v>
      </c>
      <c r="F251" s="9">
        <f t="shared" ref="F251:G251" si="129">F252+F253+F254</f>
        <v>5680.7000000000007</v>
      </c>
      <c r="G251" s="9">
        <f t="shared" si="129"/>
        <v>5680.7000000000007</v>
      </c>
      <c r="H251" s="21"/>
    </row>
    <row r="252" spans="1:8" ht="25.95" customHeight="1" x14ac:dyDescent="0.25">
      <c r="A252" s="7" t="s">
        <v>226</v>
      </c>
      <c r="B252" s="8" t="s">
        <v>60</v>
      </c>
      <c r="C252" s="8" t="s">
        <v>0</v>
      </c>
      <c r="D252" s="8" t="s">
        <v>227</v>
      </c>
      <c r="E252" s="9">
        <f>62</f>
        <v>62</v>
      </c>
      <c r="F252" s="9">
        <f>0</f>
        <v>0</v>
      </c>
      <c r="G252" s="9">
        <f>0</f>
        <v>0</v>
      </c>
      <c r="H252" s="21"/>
    </row>
    <row r="253" spans="1:8" x14ac:dyDescent="0.25">
      <c r="A253" s="7" t="s">
        <v>164</v>
      </c>
      <c r="B253" s="8" t="s">
        <v>60</v>
      </c>
      <c r="C253" s="8" t="s">
        <v>0</v>
      </c>
      <c r="D253" s="8" t="s">
        <v>61</v>
      </c>
      <c r="E253" s="9">
        <f>6681.6</f>
        <v>6681.6</v>
      </c>
      <c r="F253" s="9">
        <f>4185.6</f>
        <v>4185.6000000000004</v>
      </c>
      <c r="G253" s="9">
        <f>4185.6</f>
        <v>4185.6000000000004</v>
      </c>
      <c r="H253" s="21"/>
    </row>
    <row r="254" spans="1:8" x14ac:dyDescent="0.25">
      <c r="A254" s="7" t="s">
        <v>165</v>
      </c>
      <c r="B254" s="8" t="s">
        <v>60</v>
      </c>
      <c r="C254" s="8" t="s">
        <v>0</v>
      </c>
      <c r="D254" s="8" t="s">
        <v>62</v>
      </c>
      <c r="E254" s="9">
        <f>2544.5</f>
        <v>2544.5</v>
      </c>
      <c r="F254" s="9">
        <f>1495.1</f>
        <v>1495.1</v>
      </c>
      <c r="G254" s="9">
        <f>1495.1</f>
        <v>1495.1</v>
      </c>
      <c r="H254" s="21"/>
    </row>
    <row r="255" spans="1:8" ht="26.4" x14ac:dyDescent="0.25">
      <c r="A255" s="7" t="s">
        <v>158</v>
      </c>
      <c r="B255" s="8" t="s">
        <v>60</v>
      </c>
      <c r="C255" s="8" t="s">
        <v>3</v>
      </c>
      <c r="D255" s="8"/>
      <c r="E255" s="9">
        <f>E256+E257</f>
        <v>177206.1</v>
      </c>
      <c r="F255" s="9">
        <f t="shared" ref="F255:G255" si="130">F256+F257</f>
        <v>150433</v>
      </c>
      <c r="G255" s="9">
        <f t="shared" si="130"/>
        <v>140504.20000000001</v>
      </c>
      <c r="H255" s="21"/>
    </row>
    <row r="256" spans="1:8" x14ac:dyDescent="0.25">
      <c r="A256" s="7" t="s">
        <v>159</v>
      </c>
      <c r="B256" s="8" t="s">
        <v>60</v>
      </c>
      <c r="C256" s="8" t="s">
        <v>3</v>
      </c>
      <c r="D256" s="8" t="s">
        <v>38</v>
      </c>
      <c r="E256" s="9">
        <f>55420.8</f>
        <v>55420.800000000003</v>
      </c>
      <c r="F256" s="9">
        <f>50628.2</f>
        <v>50628.2</v>
      </c>
      <c r="G256" s="9">
        <f>48055.4</f>
        <v>48055.4</v>
      </c>
      <c r="H256" s="21"/>
    </row>
    <row r="257" spans="1:8" x14ac:dyDescent="0.25">
      <c r="A257" s="7" t="s">
        <v>164</v>
      </c>
      <c r="B257" s="8" t="s">
        <v>60</v>
      </c>
      <c r="C257" s="8" t="s">
        <v>3</v>
      </c>
      <c r="D257" s="8" t="s">
        <v>61</v>
      </c>
      <c r="E257" s="9">
        <f>121785.3</f>
        <v>121785.3</v>
      </c>
      <c r="F257" s="9">
        <f>99804.8</f>
        <v>99804.800000000003</v>
      </c>
      <c r="G257" s="9">
        <f>92448.8</f>
        <v>92448.8</v>
      </c>
      <c r="H257" s="21"/>
    </row>
    <row r="258" spans="1:8" x14ac:dyDescent="0.25">
      <c r="A258" s="7" t="s">
        <v>152</v>
      </c>
      <c r="B258" s="8" t="s">
        <v>60</v>
      </c>
      <c r="C258" s="8" t="s">
        <v>1</v>
      </c>
      <c r="D258" s="8"/>
      <c r="E258" s="9">
        <f>E259+E260</f>
        <v>28</v>
      </c>
      <c r="F258" s="9">
        <f t="shared" ref="F258:G258" si="131">F259+F260</f>
        <v>17.5</v>
      </c>
      <c r="G258" s="9">
        <f t="shared" si="131"/>
        <v>17.5</v>
      </c>
      <c r="H258" s="21"/>
    </row>
    <row r="259" spans="1:8" x14ac:dyDescent="0.25">
      <c r="A259" s="7" t="s">
        <v>164</v>
      </c>
      <c r="B259" s="8" t="s">
        <v>60</v>
      </c>
      <c r="C259" s="8" t="s">
        <v>1</v>
      </c>
      <c r="D259" s="8" t="s">
        <v>61</v>
      </c>
      <c r="E259" s="9">
        <f>9</f>
        <v>9</v>
      </c>
      <c r="F259" s="9">
        <f>9</f>
        <v>9</v>
      </c>
      <c r="G259" s="9">
        <f>9</f>
        <v>9</v>
      </c>
      <c r="H259" s="21"/>
    </row>
    <row r="260" spans="1:8" x14ac:dyDescent="0.25">
      <c r="A260" s="7" t="s">
        <v>165</v>
      </c>
      <c r="B260" s="8" t="s">
        <v>60</v>
      </c>
      <c r="C260" s="8" t="s">
        <v>1</v>
      </c>
      <c r="D260" s="8" t="s">
        <v>62</v>
      </c>
      <c r="E260" s="9">
        <f>19</f>
        <v>19</v>
      </c>
      <c r="F260" s="9">
        <f>8.5</f>
        <v>8.5</v>
      </c>
      <c r="G260" s="9">
        <f>8.5</f>
        <v>8.5</v>
      </c>
      <c r="H260" s="21"/>
    </row>
    <row r="261" spans="1:8" ht="27" customHeight="1" x14ac:dyDescent="0.25">
      <c r="A261" s="7" t="s">
        <v>471</v>
      </c>
      <c r="B261" s="8" t="s">
        <v>470</v>
      </c>
      <c r="C261" s="8"/>
      <c r="D261" s="8"/>
      <c r="E261" s="9">
        <f>E262</f>
        <v>2016.1</v>
      </c>
      <c r="F261" s="9">
        <f t="shared" ref="F261:G261" si="132">F262</f>
        <v>0</v>
      </c>
      <c r="G261" s="9">
        <f t="shared" si="132"/>
        <v>0</v>
      </c>
      <c r="H261" s="21"/>
    </row>
    <row r="262" spans="1:8" ht="26.4" x14ac:dyDescent="0.25">
      <c r="A262" s="7" t="s">
        <v>158</v>
      </c>
      <c r="B262" s="8" t="s">
        <v>470</v>
      </c>
      <c r="C262" s="8" t="s">
        <v>3</v>
      </c>
      <c r="D262" s="8"/>
      <c r="E262" s="9">
        <f>E263</f>
        <v>2016.1</v>
      </c>
      <c r="F262" s="9">
        <f t="shared" ref="F262:G262" si="133">F263</f>
        <v>0</v>
      </c>
      <c r="G262" s="9">
        <f t="shared" si="133"/>
        <v>0</v>
      </c>
      <c r="H262" s="21"/>
    </row>
    <row r="263" spans="1:8" x14ac:dyDescent="0.25">
      <c r="A263" s="7" t="s">
        <v>164</v>
      </c>
      <c r="B263" s="8" t="s">
        <v>470</v>
      </c>
      <c r="C263" s="8" t="s">
        <v>3</v>
      </c>
      <c r="D263" s="8" t="s">
        <v>61</v>
      </c>
      <c r="E263" s="9">
        <f>2016.1</f>
        <v>2016.1</v>
      </c>
      <c r="F263" s="9">
        <f>0</f>
        <v>0</v>
      </c>
      <c r="G263" s="9">
        <f>0</f>
        <v>0</v>
      </c>
      <c r="H263" s="21"/>
    </row>
    <row r="264" spans="1:8" ht="26.4" x14ac:dyDescent="0.25">
      <c r="A264" s="7" t="s">
        <v>374</v>
      </c>
      <c r="B264" s="8" t="s">
        <v>373</v>
      </c>
      <c r="C264" s="8"/>
      <c r="D264" s="8"/>
      <c r="E264" s="9">
        <f>E265</f>
        <v>645.20000000000005</v>
      </c>
      <c r="F264" s="9">
        <f t="shared" ref="F264:G264" si="134">F265</f>
        <v>0</v>
      </c>
      <c r="G264" s="9">
        <f t="shared" si="134"/>
        <v>0</v>
      </c>
      <c r="H264" s="21"/>
    </row>
    <row r="265" spans="1:8" ht="26.4" x14ac:dyDescent="0.25">
      <c r="A265" s="7" t="s">
        <v>158</v>
      </c>
      <c r="B265" s="8" t="s">
        <v>373</v>
      </c>
      <c r="C265" s="8" t="s">
        <v>3</v>
      </c>
      <c r="D265" s="8"/>
      <c r="E265" s="9">
        <f>E266</f>
        <v>645.20000000000005</v>
      </c>
      <c r="F265" s="9">
        <f t="shared" ref="F265:G265" si="135">F266</f>
        <v>0</v>
      </c>
      <c r="G265" s="9">
        <f t="shared" si="135"/>
        <v>0</v>
      </c>
      <c r="H265" s="21"/>
    </row>
    <row r="266" spans="1:8" x14ac:dyDescent="0.25">
      <c r="A266" s="7" t="s">
        <v>159</v>
      </c>
      <c r="B266" s="8" t="s">
        <v>373</v>
      </c>
      <c r="C266" s="8" t="s">
        <v>3</v>
      </c>
      <c r="D266" s="8" t="s">
        <v>38</v>
      </c>
      <c r="E266" s="9">
        <f>645.2</f>
        <v>645.20000000000005</v>
      </c>
      <c r="F266" s="9">
        <f>0</f>
        <v>0</v>
      </c>
      <c r="G266" s="9">
        <f>0</f>
        <v>0</v>
      </c>
      <c r="H266" s="21"/>
    </row>
    <row r="267" spans="1:8" ht="26.4" x14ac:dyDescent="0.25">
      <c r="A267" s="7" t="s">
        <v>63</v>
      </c>
      <c r="B267" s="8" t="s">
        <v>64</v>
      </c>
      <c r="C267" s="8"/>
      <c r="D267" s="8"/>
      <c r="E267" s="9">
        <f>E268+E270+E273</f>
        <v>6076.9</v>
      </c>
      <c r="F267" s="9">
        <f t="shared" ref="F267:G267" si="136">F268+F270+F273</f>
        <v>291.3</v>
      </c>
      <c r="G267" s="9">
        <f t="shared" si="136"/>
        <v>298.89999999999998</v>
      </c>
      <c r="H267" s="21"/>
    </row>
    <row r="268" spans="1:8" ht="26.4" x14ac:dyDescent="0.25">
      <c r="A268" s="7" t="s">
        <v>158</v>
      </c>
      <c r="B268" s="8" t="s">
        <v>64</v>
      </c>
      <c r="C268" s="8" t="s">
        <v>3</v>
      </c>
      <c r="D268" s="8"/>
      <c r="E268" s="9">
        <f>E269</f>
        <v>330</v>
      </c>
      <c r="F268" s="9">
        <f t="shared" ref="F268:G268" si="137">F269</f>
        <v>0</v>
      </c>
      <c r="G268" s="9">
        <f t="shared" si="137"/>
        <v>0</v>
      </c>
      <c r="H268" s="21"/>
    </row>
    <row r="269" spans="1:8" ht="17.399999999999999" customHeight="1" x14ac:dyDescent="0.25">
      <c r="A269" s="7" t="s">
        <v>164</v>
      </c>
      <c r="B269" s="8" t="s">
        <v>64</v>
      </c>
      <c r="C269" s="8" t="s">
        <v>3</v>
      </c>
      <c r="D269" s="8" t="s">
        <v>61</v>
      </c>
      <c r="E269" s="9">
        <f>330</f>
        <v>330</v>
      </c>
      <c r="F269" s="9">
        <f>0</f>
        <v>0</v>
      </c>
      <c r="G269" s="9">
        <f>0</f>
        <v>0</v>
      </c>
      <c r="H269" s="21"/>
    </row>
    <row r="270" spans="1:8" ht="24" customHeight="1" x14ac:dyDescent="0.25">
      <c r="A270" s="7" t="s">
        <v>473</v>
      </c>
      <c r="B270" s="8" t="s">
        <v>472</v>
      </c>
      <c r="C270" s="8"/>
      <c r="D270" s="8"/>
      <c r="E270" s="9">
        <f>E271</f>
        <v>5456</v>
      </c>
      <c r="F270" s="9">
        <f t="shared" ref="F270:G270" si="138">F271</f>
        <v>0</v>
      </c>
      <c r="G270" s="9">
        <f t="shared" si="138"/>
        <v>0</v>
      </c>
      <c r="H270" s="21"/>
    </row>
    <row r="271" spans="1:8" ht="26.4" x14ac:dyDescent="0.25">
      <c r="A271" s="7" t="s">
        <v>118</v>
      </c>
      <c r="B271" s="8" t="s">
        <v>472</v>
      </c>
      <c r="C271" s="8" t="s">
        <v>0</v>
      </c>
      <c r="D271" s="8"/>
      <c r="E271" s="9">
        <f>E272</f>
        <v>5456</v>
      </c>
      <c r="F271" s="9">
        <f t="shared" ref="F271:G271" si="139">F272</f>
        <v>0</v>
      </c>
      <c r="G271" s="9">
        <f t="shared" si="139"/>
        <v>0</v>
      </c>
      <c r="H271" s="21"/>
    </row>
    <row r="272" spans="1:8" ht="16.95" customHeight="1" x14ac:dyDescent="0.25">
      <c r="A272" s="7" t="s">
        <v>164</v>
      </c>
      <c r="B272" s="8" t="s">
        <v>472</v>
      </c>
      <c r="C272" s="8" t="s">
        <v>0</v>
      </c>
      <c r="D272" s="8" t="s">
        <v>61</v>
      </c>
      <c r="E272" s="9">
        <f>5456</f>
        <v>5456</v>
      </c>
      <c r="F272" s="9">
        <f>0</f>
        <v>0</v>
      </c>
      <c r="G272" s="9">
        <f>0</f>
        <v>0</v>
      </c>
      <c r="H272" s="21"/>
    </row>
    <row r="273" spans="1:8" ht="26.4" x14ac:dyDescent="0.25">
      <c r="A273" s="7" t="s">
        <v>312</v>
      </c>
      <c r="B273" s="8" t="s">
        <v>313</v>
      </c>
      <c r="C273" s="8"/>
      <c r="D273" s="8"/>
      <c r="E273" s="9">
        <f>E274</f>
        <v>290.89999999999998</v>
      </c>
      <c r="F273" s="9">
        <f t="shared" ref="F273:G273" si="140">F274</f>
        <v>291.3</v>
      </c>
      <c r="G273" s="9">
        <f t="shared" si="140"/>
        <v>298.89999999999998</v>
      </c>
      <c r="H273" s="21"/>
    </row>
    <row r="274" spans="1:8" ht="26.4" x14ac:dyDescent="0.25">
      <c r="A274" s="7" t="s">
        <v>158</v>
      </c>
      <c r="B274" s="8" t="s">
        <v>313</v>
      </c>
      <c r="C274" s="8" t="s">
        <v>3</v>
      </c>
      <c r="D274" s="8"/>
      <c r="E274" s="9">
        <f>E275</f>
        <v>290.89999999999998</v>
      </c>
      <c r="F274" s="9">
        <f t="shared" ref="F274:G274" si="141">F275</f>
        <v>291.3</v>
      </c>
      <c r="G274" s="9">
        <f t="shared" si="141"/>
        <v>298.89999999999998</v>
      </c>
      <c r="H274" s="21"/>
    </row>
    <row r="275" spans="1:8" x14ac:dyDescent="0.25">
      <c r="A275" s="7" t="s">
        <v>164</v>
      </c>
      <c r="B275" s="8" t="s">
        <v>313</v>
      </c>
      <c r="C275" s="8" t="s">
        <v>3</v>
      </c>
      <c r="D275" s="8" t="s">
        <v>61</v>
      </c>
      <c r="E275" s="9">
        <f>290.9</f>
        <v>290.89999999999998</v>
      </c>
      <c r="F275" s="9">
        <f>291.3</f>
        <v>291.3</v>
      </c>
      <c r="G275" s="9">
        <f>298.9</f>
        <v>298.89999999999998</v>
      </c>
      <c r="H275" s="21"/>
    </row>
    <row r="276" spans="1:8" ht="26.4" x14ac:dyDescent="0.25">
      <c r="A276" s="7" t="s">
        <v>20</v>
      </c>
      <c r="B276" s="8" t="s">
        <v>65</v>
      </c>
      <c r="C276" s="8"/>
      <c r="D276" s="8"/>
      <c r="E276" s="9">
        <f>E277+E280+E282+E285</f>
        <v>19166.5</v>
      </c>
      <c r="F276" s="9">
        <f t="shared" ref="F276:G276" si="142">F277+F280+F282+F285</f>
        <v>2000</v>
      </c>
      <c r="G276" s="9">
        <f t="shared" si="142"/>
        <v>2000.1</v>
      </c>
      <c r="H276" s="21"/>
    </row>
    <row r="277" spans="1:8" ht="26.4" x14ac:dyDescent="0.25">
      <c r="A277" s="7" t="s">
        <v>118</v>
      </c>
      <c r="B277" s="8" t="s">
        <v>65</v>
      </c>
      <c r="C277" s="8" t="s">
        <v>0</v>
      </c>
      <c r="D277" s="8"/>
      <c r="E277" s="9">
        <f>E278+E279</f>
        <v>2965.7000000000003</v>
      </c>
      <c r="F277" s="9">
        <f t="shared" ref="F277:G277" si="143">F278+F279</f>
        <v>200</v>
      </c>
      <c r="G277" s="9">
        <f t="shared" si="143"/>
        <v>200</v>
      </c>
      <c r="H277" s="21"/>
    </row>
    <row r="278" spans="1:8" x14ac:dyDescent="0.25">
      <c r="A278" s="7" t="s">
        <v>164</v>
      </c>
      <c r="B278" s="8" t="s">
        <v>65</v>
      </c>
      <c r="C278" s="8" t="s">
        <v>0</v>
      </c>
      <c r="D278" s="8" t="s">
        <v>61</v>
      </c>
      <c r="E278" s="9">
        <f>2900.3</f>
        <v>2900.3</v>
      </c>
      <c r="F278" s="9">
        <f>200</f>
        <v>200</v>
      </c>
      <c r="G278" s="9">
        <f>200</f>
        <v>200</v>
      </c>
      <c r="H278" s="21"/>
    </row>
    <row r="279" spans="1:8" x14ac:dyDescent="0.25">
      <c r="A279" s="7" t="s">
        <v>165</v>
      </c>
      <c r="B279" s="8" t="s">
        <v>65</v>
      </c>
      <c r="C279" s="8" t="s">
        <v>0</v>
      </c>
      <c r="D279" s="8" t="s">
        <v>62</v>
      </c>
      <c r="E279" s="9">
        <f>65.4</f>
        <v>65.400000000000006</v>
      </c>
      <c r="F279" s="9">
        <f>0</f>
        <v>0</v>
      </c>
      <c r="G279" s="9">
        <f>0</f>
        <v>0</v>
      </c>
      <c r="H279" s="21"/>
    </row>
    <row r="280" spans="1:8" x14ac:dyDescent="0.25">
      <c r="A280" s="7" t="s">
        <v>119</v>
      </c>
      <c r="B280" s="8" t="s">
        <v>65</v>
      </c>
      <c r="C280" s="8" t="s">
        <v>2</v>
      </c>
      <c r="D280" s="8"/>
      <c r="E280" s="9">
        <f>E281</f>
        <v>33</v>
      </c>
      <c r="F280" s="9">
        <f t="shared" ref="F280:G280" si="144">F281</f>
        <v>0</v>
      </c>
      <c r="G280" s="9">
        <f t="shared" si="144"/>
        <v>0</v>
      </c>
      <c r="H280" s="21"/>
    </row>
    <row r="281" spans="1:8" x14ac:dyDescent="0.25">
      <c r="A281" s="7" t="s">
        <v>165</v>
      </c>
      <c r="B281" s="8" t="s">
        <v>65</v>
      </c>
      <c r="C281" s="8" t="s">
        <v>2</v>
      </c>
      <c r="D281" s="8" t="s">
        <v>62</v>
      </c>
      <c r="E281" s="9">
        <f>33</f>
        <v>33</v>
      </c>
      <c r="F281" s="9">
        <f>0</f>
        <v>0</v>
      </c>
      <c r="G281" s="9">
        <f>0</f>
        <v>0</v>
      </c>
      <c r="H281" s="21"/>
    </row>
    <row r="282" spans="1:8" ht="26.4" x14ac:dyDescent="0.25">
      <c r="A282" s="7" t="s">
        <v>158</v>
      </c>
      <c r="B282" s="8" t="s">
        <v>65</v>
      </c>
      <c r="C282" s="8" t="s">
        <v>3</v>
      </c>
      <c r="D282" s="8"/>
      <c r="E282" s="9">
        <f>E283+E284</f>
        <v>11327.8</v>
      </c>
      <c r="F282" s="9">
        <f t="shared" ref="F282:G282" si="145">F283+F284</f>
        <v>1800</v>
      </c>
      <c r="G282" s="9">
        <f t="shared" si="145"/>
        <v>1800.1</v>
      </c>
      <c r="H282" s="21"/>
    </row>
    <row r="283" spans="1:8" ht="13.95" customHeight="1" x14ac:dyDescent="0.25">
      <c r="A283" s="7" t="s">
        <v>159</v>
      </c>
      <c r="B283" s="8" t="s">
        <v>65</v>
      </c>
      <c r="C283" s="8" t="s">
        <v>3</v>
      </c>
      <c r="D283" s="8" t="s">
        <v>38</v>
      </c>
      <c r="E283" s="9">
        <f>27</f>
        <v>27</v>
      </c>
      <c r="F283" s="9">
        <f>0</f>
        <v>0</v>
      </c>
      <c r="G283" s="9">
        <f>0</f>
        <v>0</v>
      </c>
      <c r="H283" s="21"/>
    </row>
    <row r="284" spans="1:8" ht="13.2" customHeight="1" x14ac:dyDescent="0.25">
      <c r="A284" s="7" t="s">
        <v>164</v>
      </c>
      <c r="B284" s="8" t="s">
        <v>65</v>
      </c>
      <c r="C284" s="8" t="s">
        <v>3</v>
      </c>
      <c r="D284" s="8" t="s">
        <v>61</v>
      </c>
      <c r="E284" s="9">
        <f>11300.8</f>
        <v>11300.8</v>
      </c>
      <c r="F284" s="9">
        <v>1800</v>
      </c>
      <c r="G284" s="9">
        <v>1800.1</v>
      </c>
      <c r="H284" s="21"/>
    </row>
    <row r="285" spans="1:8" ht="41.25" customHeight="1" x14ac:dyDescent="0.25">
      <c r="A285" s="7" t="s">
        <v>514</v>
      </c>
      <c r="B285" s="8" t="s">
        <v>513</v>
      </c>
      <c r="C285" s="8"/>
      <c r="D285" s="8"/>
      <c r="E285" s="9">
        <f>E286</f>
        <v>4840</v>
      </c>
      <c r="F285" s="9">
        <f t="shared" ref="F285:G285" si="146">F286</f>
        <v>0</v>
      </c>
      <c r="G285" s="9">
        <f t="shared" si="146"/>
        <v>0</v>
      </c>
      <c r="H285" s="21"/>
    </row>
    <row r="286" spans="1:8" ht="26.4" x14ac:dyDescent="0.25">
      <c r="A286" s="7" t="s">
        <v>158</v>
      </c>
      <c r="B286" s="8" t="s">
        <v>513</v>
      </c>
      <c r="C286" s="8" t="s">
        <v>3</v>
      </c>
      <c r="D286" s="8"/>
      <c r="E286" s="9">
        <f>E287</f>
        <v>4840</v>
      </c>
      <c r="F286" s="9">
        <f t="shared" ref="F286:G286" si="147">F287</f>
        <v>0</v>
      </c>
      <c r="G286" s="9">
        <f t="shared" si="147"/>
        <v>0</v>
      </c>
      <c r="H286" s="21"/>
    </row>
    <row r="287" spans="1:8" ht="15" customHeight="1" x14ac:dyDescent="0.25">
      <c r="A287" s="7" t="s">
        <v>164</v>
      </c>
      <c r="B287" s="8" t="s">
        <v>513</v>
      </c>
      <c r="C287" s="8" t="s">
        <v>3</v>
      </c>
      <c r="D287" s="8" t="s">
        <v>61</v>
      </c>
      <c r="E287" s="9">
        <f>4840</f>
        <v>4840</v>
      </c>
      <c r="F287" s="9">
        <f>0</f>
        <v>0</v>
      </c>
      <c r="G287" s="9">
        <f>0</f>
        <v>0</v>
      </c>
      <c r="H287" s="21"/>
    </row>
    <row r="288" spans="1:8" ht="15.6" customHeight="1" x14ac:dyDescent="0.25">
      <c r="A288" s="7" t="s">
        <v>21</v>
      </c>
      <c r="B288" s="8" t="s">
        <v>66</v>
      </c>
      <c r="C288" s="8"/>
      <c r="D288" s="8"/>
      <c r="E288" s="9">
        <f>E289+E292</f>
        <v>73351.600000000006</v>
      </c>
      <c r="F288" s="9">
        <f t="shared" ref="F288:G288" si="148">F289</f>
        <v>0</v>
      </c>
      <c r="G288" s="9">
        <f t="shared" si="148"/>
        <v>0</v>
      </c>
      <c r="H288" s="21"/>
    </row>
    <row r="289" spans="1:8" ht="26.4" x14ac:dyDescent="0.25">
      <c r="A289" s="7" t="s">
        <v>118</v>
      </c>
      <c r="B289" s="8" t="s">
        <v>66</v>
      </c>
      <c r="C289" s="8" t="s">
        <v>0</v>
      </c>
      <c r="D289" s="8"/>
      <c r="E289" s="9">
        <f>E290+E291</f>
        <v>1285.3</v>
      </c>
      <c r="F289" s="9">
        <f t="shared" ref="F289:G289" si="149">F290+F291</f>
        <v>0</v>
      </c>
      <c r="G289" s="9">
        <f t="shared" si="149"/>
        <v>0</v>
      </c>
      <c r="H289" s="21"/>
    </row>
    <row r="290" spans="1:8" ht="14.4" customHeight="1" x14ac:dyDescent="0.25">
      <c r="A290" s="7" t="s">
        <v>159</v>
      </c>
      <c r="B290" s="8" t="s">
        <v>66</v>
      </c>
      <c r="C290" s="8" t="s">
        <v>0</v>
      </c>
      <c r="D290" s="8" t="s">
        <v>38</v>
      </c>
      <c r="E290" s="9">
        <f>1132.6</f>
        <v>1132.5999999999999</v>
      </c>
      <c r="F290" s="9">
        <f>0</f>
        <v>0</v>
      </c>
      <c r="G290" s="9">
        <f>0</f>
        <v>0</v>
      </c>
      <c r="H290" s="21"/>
    </row>
    <row r="291" spans="1:8" ht="15" customHeight="1" x14ac:dyDescent="0.25">
      <c r="A291" s="7" t="s">
        <v>164</v>
      </c>
      <c r="B291" s="8" t="s">
        <v>66</v>
      </c>
      <c r="C291" s="8" t="s">
        <v>0</v>
      </c>
      <c r="D291" s="8" t="s">
        <v>61</v>
      </c>
      <c r="E291" s="9">
        <f>152.7</f>
        <v>152.69999999999999</v>
      </c>
      <c r="F291" s="9">
        <f>0</f>
        <v>0</v>
      </c>
      <c r="G291" s="9">
        <f>0</f>
        <v>0</v>
      </c>
      <c r="H291" s="21"/>
    </row>
    <row r="292" spans="1:8" ht="26.4" x14ac:dyDescent="0.25">
      <c r="A292" s="7" t="s">
        <v>315</v>
      </c>
      <c r="B292" s="8" t="s">
        <v>314</v>
      </c>
      <c r="C292" s="8"/>
      <c r="D292" s="8"/>
      <c r="E292" s="9">
        <f>E293</f>
        <v>72066.3</v>
      </c>
      <c r="F292" s="9">
        <f t="shared" ref="F292:G292" si="150">F293</f>
        <v>0</v>
      </c>
      <c r="G292" s="9">
        <f t="shared" si="150"/>
        <v>0</v>
      </c>
      <c r="H292" s="21"/>
    </row>
    <row r="293" spans="1:8" ht="26.4" x14ac:dyDescent="0.25">
      <c r="A293" s="7" t="s">
        <v>118</v>
      </c>
      <c r="B293" s="8" t="s">
        <v>314</v>
      </c>
      <c r="C293" s="8" t="s">
        <v>0</v>
      </c>
      <c r="D293" s="8"/>
      <c r="E293" s="9">
        <f>E294</f>
        <v>72066.3</v>
      </c>
      <c r="F293" s="9">
        <f t="shared" ref="F293:G293" si="151">F294</f>
        <v>0</v>
      </c>
      <c r="G293" s="9">
        <f t="shared" si="151"/>
        <v>0</v>
      </c>
      <c r="H293" s="21"/>
    </row>
    <row r="294" spans="1:8" ht="15.6" customHeight="1" x14ac:dyDescent="0.25">
      <c r="A294" s="7" t="s">
        <v>164</v>
      </c>
      <c r="B294" s="8" t="s">
        <v>314</v>
      </c>
      <c r="C294" s="8" t="s">
        <v>0</v>
      </c>
      <c r="D294" s="8" t="s">
        <v>61</v>
      </c>
      <c r="E294" s="9">
        <f>72066.3</f>
        <v>72066.3</v>
      </c>
      <c r="F294" s="9">
        <v>0</v>
      </c>
      <c r="G294" s="9">
        <v>0</v>
      </c>
      <c r="H294" s="21"/>
    </row>
    <row r="295" spans="1:8" ht="26.4" x14ac:dyDescent="0.25">
      <c r="A295" s="7" t="s">
        <v>67</v>
      </c>
      <c r="B295" s="8" t="s">
        <v>68</v>
      </c>
      <c r="C295" s="8"/>
      <c r="D295" s="8"/>
      <c r="E295" s="9">
        <f>E296+E301+E312+E328+E325</f>
        <v>133077.5</v>
      </c>
      <c r="F295" s="9">
        <f t="shared" ref="F295:G295" si="152">F296+F301+F312+F328+F325</f>
        <v>66038.7</v>
      </c>
      <c r="G295" s="9">
        <f t="shared" si="152"/>
        <v>75814.399999999994</v>
      </c>
      <c r="H295" s="21"/>
    </row>
    <row r="296" spans="1:8" ht="26.4" x14ac:dyDescent="0.25">
      <c r="A296" s="7" t="s">
        <v>22</v>
      </c>
      <c r="B296" s="8" t="s">
        <v>69</v>
      </c>
      <c r="C296" s="8"/>
      <c r="D296" s="8"/>
      <c r="E296" s="9">
        <f>E297+E299</f>
        <v>1100</v>
      </c>
      <c r="F296" s="9">
        <f t="shared" ref="F296:G296" si="153">F297+F299</f>
        <v>950</v>
      </c>
      <c r="G296" s="9">
        <f t="shared" si="153"/>
        <v>950</v>
      </c>
      <c r="H296" s="21"/>
    </row>
    <row r="297" spans="1:8" ht="26.4" x14ac:dyDescent="0.25">
      <c r="A297" s="7" t="s">
        <v>118</v>
      </c>
      <c r="B297" s="8" t="s">
        <v>69</v>
      </c>
      <c r="C297" s="8" t="s">
        <v>0</v>
      </c>
      <c r="D297" s="8"/>
      <c r="E297" s="9">
        <f>E298</f>
        <v>1070</v>
      </c>
      <c r="F297" s="9">
        <f t="shared" ref="F297:G297" si="154">F298</f>
        <v>950</v>
      </c>
      <c r="G297" s="9">
        <f t="shared" si="154"/>
        <v>950</v>
      </c>
      <c r="H297" s="21"/>
    </row>
    <row r="298" spans="1:8" x14ac:dyDescent="0.25">
      <c r="A298" s="7" t="s">
        <v>166</v>
      </c>
      <c r="B298" s="8" t="s">
        <v>69</v>
      </c>
      <c r="C298" s="8" t="s">
        <v>0</v>
      </c>
      <c r="D298" s="8" t="s">
        <v>70</v>
      </c>
      <c r="E298" s="9">
        <f>1070</f>
        <v>1070</v>
      </c>
      <c r="F298" s="9">
        <f>950</f>
        <v>950</v>
      </c>
      <c r="G298" s="9">
        <f>950</f>
        <v>950</v>
      </c>
      <c r="H298" s="21"/>
    </row>
    <row r="299" spans="1:8" x14ac:dyDescent="0.25">
      <c r="A299" s="7" t="s">
        <v>119</v>
      </c>
      <c r="B299" s="8" t="s">
        <v>69</v>
      </c>
      <c r="C299" s="8" t="s">
        <v>2</v>
      </c>
      <c r="D299" s="8"/>
      <c r="E299" s="9">
        <f>E300</f>
        <v>30</v>
      </c>
      <c r="F299" s="9">
        <f t="shared" ref="F299:G299" si="155">F300</f>
        <v>0</v>
      </c>
      <c r="G299" s="9">
        <f t="shared" si="155"/>
        <v>0</v>
      </c>
      <c r="H299" s="21"/>
    </row>
    <row r="300" spans="1:8" x14ac:dyDescent="0.25">
      <c r="A300" s="7" t="s">
        <v>166</v>
      </c>
      <c r="B300" s="8" t="s">
        <v>69</v>
      </c>
      <c r="C300" s="8" t="s">
        <v>2</v>
      </c>
      <c r="D300" s="8" t="s">
        <v>70</v>
      </c>
      <c r="E300" s="9">
        <f>30</f>
        <v>30</v>
      </c>
      <c r="F300" s="9">
        <f>0</f>
        <v>0</v>
      </c>
      <c r="G300" s="9">
        <f>0</f>
        <v>0</v>
      </c>
      <c r="H300" s="21"/>
    </row>
    <row r="301" spans="1:8" x14ac:dyDescent="0.25">
      <c r="A301" s="7" t="s">
        <v>23</v>
      </c>
      <c r="B301" s="8" t="s">
        <v>71</v>
      </c>
      <c r="C301" s="8"/>
      <c r="D301" s="8"/>
      <c r="E301" s="9">
        <f>E306+E308+E302+E310</f>
        <v>5448</v>
      </c>
      <c r="F301" s="9">
        <f t="shared" ref="F301:G301" si="156">F306+F308+F302+F310</f>
        <v>1287.5999999999999</v>
      </c>
      <c r="G301" s="9">
        <f t="shared" si="156"/>
        <v>1400</v>
      </c>
      <c r="H301" s="21"/>
    </row>
    <row r="302" spans="1:8" ht="37.5" customHeight="1" x14ac:dyDescent="0.25">
      <c r="A302" s="7" t="s">
        <v>163</v>
      </c>
      <c r="B302" s="8" t="s">
        <v>71</v>
      </c>
      <c r="C302" s="8" t="s">
        <v>4</v>
      </c>
      <c r="D302" s="8"/>
      <c r="E302" s="9">
        <f>E303+E304</f>
        <v>150</v>
      </c>
      <c r="F302" s="9">
        <f>F303</f>
        <v>100</v>
      </c>
      <c r="G302" s="9">
        <f>G303</f>
        <v>100</v>
      </c>
      <c r="H302" s="21"/>
    </row>
    <row r="303" spans="1:8" x14ac:dyDescent="0.25">
      <c r="A303" s="7" t="s">
        <v>166</v>
      </c>
      <c r="B303" s="8" t="s">
        <v>71</v>
      </c>
      <c r="C303" s="8" t="s">
        <v>4</v>
      </c>
      <c r="D303" s="8" t="s">
        <v>70</v>
      </c>
      <c r="E303" s="9">
        <f>100</f>
        <v>100</v>
      </c>
      <c r="F303" s="9">
        <f>100</f>
        <v>100</v>
      </c>
      <c r="G303" s="9">
        <f>100</f>
        <v>100</v>
      </c>
      <c r="H303" s="21"/>
    </row>
    <row r="304" spans="1:8" ht="26.4" x14ac:dyDescent="0.25">
      <c r="A304" s="7" t="s">
        <v>118</v>
      </c>
      <c r="B304" s="8" t="s">
        <v>71</v>
      </c>
      <c r="C304" s="8" t="s">
        <v>0</v>
      </c>
      <c r="D304" s="8"/>
      <c r="E304" s="9">
        <f>E305</f>
        <v>50</v>
      </c>
      <c r="F304" s="9">
        <f t="shared" ref="F304:G304" si="157">F305</f>
        <v>0</v>
      </c>
      <c r="G304" s="9">
        <f t="shared" si="157"/>
        <v>0</v>
      </c>
      <c r="H304" s="21"/>
    </row>
    <row r="305" spans="1:8" x14ac:dyDescent="0.25">
      <c r="A305" s="7" t="s">
        <v>166</v>
      </c>
      <c r="B305" s="8" t="s">
        <v>71</v>
      </c>
      <c r="C305" s="8" t="s">
        <v>0</v>
      </c>
      <c r="D305" s="8" t="s">
        <v>70</v>
      </c>
      <c r="E305" s="9">
        <f>50</f>
        <v>50</v>
      </c>
      <c r="F305" s="9">
        <f>0</f>
        <v>0</v>
      </c>
      <c r="G305" s="9">
        <f>0</f>
        <v>0</v>
      </c>
      <c r="H305" s="21"/>
    </row>
    <row r="306" spans="1:8" x14ac:dyDescent="0.25">
      <c r="A306" s="7" t="s">
        <v>119</v>
      </c>
      <c r="B306" s="8" t="s">
        <v>71</v>
      </c>
      <c r="C306" s="8" t="s">
        <v>2</v>
      </c>
      <c r="D306" s="8"/>
      <c r="E306" s="9">
        <f>E307</f>
        <v>4073</v>
      </c>
      <c r="F306" s="9">
        <f t="shared" ref="F306:G306" si="158">F307</f>
        <v>500</v>
      </c>
      <c r="G306" s="9">
        <f t="shared" si="158"/>
        <v>500</v>
      </c>
      <c r="H306" s="21"/>
    </row>
    <row r="307" spans="1:8" x14ac:dyDescent="0.25">
      <c r="A307" s="7" t="s">
        <v>166</v>
      </c>
      <c r="B307" s="8" t="s">
        <v>71</v>
      </c>
      <c r="C307" s="8" t="s">
        <v>2</v>
      </c>
      <c r="D307" s="8" t="s">
        <v>70</v>
      </c>
      <c r="E307" s="9">
        <f>4073</f>
        <v>4073</v>
      </c>
      <c r="F307" s="9">
        <f>500</f>
        <v>500</v>
      </c>
      <c r="G307" s="9">
        <f>500</f>
        <v>500</v>
      </c>
      <c r="H307" s="21"/>
    </row>
    <row r="308" spans="1:8" ht="26.4" x14ac:dyDescent="0.25">
      <c r="A308" s="7" t="s">
        <v>158</v>
      </c>
      <c r="B308" s="8" t="s">
        <v>71</v>
      </c>
      <c r="C308" s="8" t="s">
        <v>3</v>
      </c>
      <c r="D308" s="8"/>
      <c r="E308" s="9">
        <f>E309</f>
        <v>1100</v>
      </c>
      <c r="F308" s="9">
        <f>F309</f>
        <v>637.6</v>
      </c>
      <c r="G308" s="9">
        <f t="shared" ref="G308" si="159">G309</f>
        <v>750</v>
      </c>
      <c r="H308" s="21"/>
    </row>
    <row r="309" spans="1:8" x14ac:dyDescent="0.25">
      <c r="A309" s="7" t="s">
        <v>376</v>
      </c>
      <c r="B309" s="8" t="s">
        <v>71</v>
      </c>
      <c r="C309" s="8" t="s">
        <v>3</v>
      </c>
      <c r="D309" s="8" t="s">
        <v>375</v>
      </c>
      <c r="E309" s="9">
        <v>1100</v>
      </c>
      <c r="F309" s="9">
        <f>637.6</f>
        <v>637.6</v>
      </c>
      <c r="G309" s="9">
        <f>750</f>
        <v>750</v>
      </c>
      <c r="H309" s="21"/>
    </row>
    <row r="310" spans="1:8" x14ac:dyDescent="0.25">
      <c r="A310" s="7" t="s">
        <v>152</v>
      </c>
      <c r="B310" s="8" t="s">
        <v>71</v>
      </c>
      <c r="C310" s="8" t="s">
        <v>1</v>
      </c>
      <c r="D310" s="8"/>
      <c r="E310" s="9">
        <f>E311</f>
        <v>125</v>
      </c>
      <c r="F310" s="9">
        <f t="shared" ref="F310:G310" si="160">F311</f>
        <v>50</v>
      </c>
      <c r="G310" s="9">
        <f t="shared" si="160"/>
        <v>50</v>
      </c>
      <c r="H310" s="21"/>
    </row>
    <row r="311" spans="1:8" x14ac:dyDescent="0.25">
      <c r="A311" s="7" t="s">
        <v>166</v>
      </c>
      <c r="B311" s="8" t="s">
        <v>71</v>
      </c>
      <c r="C311" s="8" t="s">
        <v>1</v>
      </c>
      <c r="D311" s="8" t="s">
        <v>70</v>
      </c>
      <c r="E311" s="9">
        <f>125</f>
        <v>125</v>
      </c>
      <c r="F311" s="9">
        <v>50</v>
      </c>
      <c r="G311" s="9">
        <v>50</v>
      </c>
      <c r="H311" s="21"/>
    </row>
    <row r="312" spans="1:8" ht="51" customHeight="1" x14ac:dyDescent="0.25">
      <c r="A312" s="7" t="s">
        <v>327</v>
      </c>
      <c r="B312" s="8" t="s">
        <v>72</v>
      </c>
      <c r="C312" s="8"/>
      <c r="D312" s="8"/>
      <c r="E312" s="9">
        <f>E313+E316+E319+E322</f>
        <v>3024.4</v>
      </c>
      <c r="F312" s="9">
        <f t="shared" ref="F312:G312" si="161">F313+F316+F319+F322</f>
        <v>750</v>
      </c>
      <c r="G312" s="9">
        <f t="shared" si="161"/>
        <v>750</v>
      </c>
      <c r="H312" s="21"/>
    </row>
    <row r="313" spans="1:8" ht="26.4" x14ac:dyDescent="0.25">
      <c r="A313" s="7" t="s">
        <v>158</v>
      </c>
      <c r="B313" s="8" t="s">
        <v>72</v>
      </c>
      <c r="C313" s="8" t="s">
        <v>3</v>
      </c>
      <c r="D313" s="8"/>
      <c r="E313" s="9">
        <f>E314+E315</f>
        <v>2380.4</v>
      </c>
      <c r="F313" s="9">
        <f t="shared" ref="F313:G313" si="162">F314+F315</f>
        <v>250</v>
      </c>
      <c r="G313" s="9">
        <f t="shared" si="162"/>
        <v>250</v>
      </c>
      <c r="H313" s="21"/>
    </row>
    <row r="314" spans="1:8" x14ac:dyDescent="0.25">
      <c r="A314" s="7" t="s">
        <v>160</v>
      </c>
      <c r="B314" s="8" t="s">
        <v>72</v>
      </c>
      <c r="C314" s="8" t="s">
        <v>3</v>
      </c>
      <c r="D314" s="8" t="s">
        <v>40</v>
      </c>
      <c r="E314" s="9">
        <f>317</f>
        <v>317</v>
      </c>
      <c r="F314" s="9">
        <f>250</f>
        <v>250</v>
      </c>
      <c r="G314" s="9">
        <f>250</f>
        <v>250</v>
      </c>
      <c r="H314" s="21"/>
    </row>
    <row r="315" spans="1:8" x14ac:dyDescent="0.25">
      <c r="A315" s="7" t="s">
        <v>166</v>
      </c>
      <c r="B315" s="8" t="s">
        <v>72</v>
      </c>
      <c r="C315" s="8" t="s">
        <v>3</v>
      </c>
      <c r="D315" s="8" t="s">
        <v>70</v>
      </c>
      <c r="E315" s="9">
        <f>2063.4</f>
        <v>2063.4</v>
      </c>
      <c r="F315" s="9">
        <f>0</f>
        <v>0</v>
      </c>
      <c r="G315" s="9">
        <f>0</f>
        <v>0</v>
      </c>
      <c r="H315" s="21"/>
    </row>
    <row r="316" spans="1:8" ht="27.6" customHeight="1" x14ac:dyDescent="0.25">
      <c r="A316" s="7" t="s">
        <v>378</v>
      </c>
      <c r="B316" s="8" t="s">
        <v>377</v>
      </c>
      <c r="C316" s="8"/>
      <c r="D316" s="8"/>
      <c r="E316" s="9">
        <f>E317</f>
        <v>0</v>
      </c>
      <c r="F316" s="9">
        <f t="shared" ref="F316:G317" si="163">F317</f>
        <v>500</v>
      </c>
      <c r="G316" s="9">
        <f t="shared" si="163"/>
        <v>500</v>
      </c>
      <c r="H316" s="21"/>
    </row>
    <row r="317" spans="1:8" ht="28.95" customHeight="1" x14ac:dyDescent="0.25">
      <c r="A317" s="7" t="s">
        <v>158</v>
      </c>
      <c r="B317" s="8" t="s">
        <v>377</v>
      </c>
      <c r="C317" s="8" t="s">
        <v>3</v>
      </c>
      <c r="D317" s="8"/>
      <c r="E317" s="9">
        <f>E318</f>
        <v>0</v>
      </c>
      <c r="F317" s="9">
        <f t="shared" si="163"/>
        <v>500</v>
      </c>
      <c r="G317" s="9">
        <f t="shared" si="163"/>
        <v>500</v>
      </c>
      <c r="H317" s="21"/>
    </row>
    <row r="318" spans="1:8" ht="17.399999999999999" customHeight="1" x14ac:dyDescent="0.25">
      <c r="A318" s="7" t="s">
        <v>160</v>
      </c>
      <c r="B318" s="8" t="s">
        <v>377</v>
      </c>
      <c r="C318" s="8" t="s">
        <v>3</v>
      </c>
      <c r="D318" s="8" t="s">
        <v>40</v>
      </c>
      <c r="E318" s="9">
        <f>0</f>
        <v>0</v>
      </c>
      <c r="F318" s="9">
        <f>500</f>
        <v>500</v>
      </c>
      <c r="G318" s="9">
        <f>500</f>
        <v>500</v>
      </c>
      <c r="H318" s="21"/>
    </row>
    <row r="319" spans="1:8" ht="42.75" customHeight="1" x14ac:dyDescent="0.25">
      <c r="A319" s="7" t="s">
        <v>475</v>
      </c>
      <c r="B319" s="8" t="s">
        <v>474</v>
      </c>
      <c r="C319" s="8"/>
      <c r="D319" s="8"/>
      <c r="E319" s="9">
        <f>E320</f>
        <v>572.1</v>
      </c>
      <c r="F319" s="9">
        <f t="shared" ref="F319:G319" si="164">F320</f>
        <v>0</v>
      </c>
      <c r="G319" s="9">
        <f t="shared" si="164"/>
        <v>0</v>
      </c>
      <c r="H319" s="21"/>
    </row>
    <row r="320" spans="1:8" ht="29.4" customHeight="1" x14ac:dyDescent="0.25">
      <c r="A320" s="7" t="s">
        <v>158</v>
      </c>
      <c r="B320" s="8" t="s">
        <v>474</v>
      </c>
      <c r="C320" s="8" t="s">
        <v>3</v>
      </c>
      <c r="D320" s="8"/>
      <c r="E320" s="9">
        <f>E321</f>
        <v>572.1</v>
      </c>
      <c r="F320" s="9">
        <f t="shared" ref="F320:G320" si="165">F321</f>
        <v>0</v>
      </c>
      <c r="G320" s="9">
        <f t="shared" si="165"/>
        <v>0</v>
      </c>
      <c r="H320" s="21"/>
    </row>
    <row r="321" spans="1:8" ht="17.399999999999999" customHeight="1" x14ac:dyDescent="0.25">
      <c r="A321" s="7" t="s">
        <v>376</v>
      </c>
      <c r="B321" s="8" t="s">
        <v>474</v>
      </c>
      <c r="C321" s="8" t="s">
        <v>3</v>
      </c>
      <c r="D321" s="8" t="s">
        <v>375</v>
      </c>
      <c r="E321" s="9">
        <f>572.1</f>
        <v>572.1</v>
      </c>
      <c r="F321" s="9">
        <f>0</f>
        <v>0</v>
      </c>
      <c r="G321" s="9">
        <f>0</f>
        <v>0</v>
      </c>
      <c r="H321" s="21"/>
    </row>
    <row r="322" spans="1:8" ht="44.4" customHeight="1" x14ac:dyDescent="0.25">
      <c r="A322" s="7" t="s">
        <v>477</v>
      </c>
      <c r="B322" s="8" t="s">
        <v>476</v>
      </c>
      <c r="C322" s="8"/>
      <c r="D322" s="8"/>
      <c r="E322" s="9">
        <f>E323</f>
        <v>71.900000000000006</v>
      </c>
      <c r="F322" s="9">
        <f t="shared" ref="F322:G322" si="166">F323</f>
        <v>0</v>
      </c>
      <c r="G322" s="9">
        <f t="shared" si="166"/>
        <v>0</v>
      </c>
      <c r="H322" s="21"/>
    </row>
    <row r="323" spans="1:8" ht="28.2" customHeight="1" x14ac:dyDescent="0.25">
      <c r="A323" s="7" t="s">
        <v>158</v>
      </c>
      <c r="B323" s="8" t="s">
        <v>476</v>
      </c>
      <c r="C323" s="8" t="s">
        <v>3</v>
      </c>
      <c r="D323" s="8"/>
      <c r="E323" s="9">
        <f>E324</f>
        <v>71.900000000000006</v>
      </c>
      <c r="F323" s="9">
        <f t="shared" ref="F323:G323" si="167">F324</f>
        <v>0</v>
      </c>
      <c r="G323" s="9">
        <f t="shared" si="167"/>
        <v>0</v>
      </c>
      <c r="H323" s="21"/>
    </row>
    <row r="324" spans="1:8" ht="15.6" customHeight="1" x14ac:dyDescent="0.25">
      <c r="A324" s="7" t="s">
        <v>376</v>
      </c>
      <c r="B324" s="8" t="s">
        <v>476</v>
      </c>
      <c r="C324" s="8" t="s">
        <v>3</v>
      </c>
      <c r="D324" s="8" t="s">
        <v>375</v>
      </c>
      <c r="E324" s="9">
        <f>71.9</f>
        <v>71.900000000000006</v>
      </c>
      <c r="F324" s="9">
        <f>0</f>
        <v>0</v>
      </c>
      <c r="G324" s="9">
        <f>0</f>
        <v>0</v>
      </c>
      <c r="H324" s="21"/>
    </row>
    <row r="325" spans="1:8" ht="68.400000000000006" customHeight="1" x14ac:dyDescent="0.25">
      <c r="A325" s="7" t="s">
        <v>516</v>
      </c>
      <c r="B325" s="8" t="s">
        <v>515</v>
      </c>
      <c r="C325" s="8"/>
      <c r="D325" s="8"/>
      <c r="E325" s="9">
        <f>E326</f>
        <v>0</v>
      </c>
      <c r="F325" s="9">
        <f t="shared" ref="F325:G325" si="168">F326</f>
        <v>2892</v>
      </c>
      <c r="G325" s="9">
        <f t="shared" si="168"/>
        <v>0</v>
      </c>
      <c r="H325" s="21"/>
    </row>
    <row r="326" spans="1:8" ht="30" customHeight="1" x14ac:dyDescent="0.25">
      <c r="A326" s="7" t="s">
        <v>158</v>
      </c>
      <c r="B326" s="8" t="s">
        <v>515</v>
      </c>
      <c r="C326" s="8" t="s">
        <v>3</v>
      </c>
      <c r="D326" s="8"/>
      <c r="E326" s="9">
        <f>E327</f>
        <v>0</v>
      </c>
      <c r="F326" s="9">
        <f t="shared" ref="F326:G326" si="169">F327</f>
        <v>2892</v>
      </c>
      <c r="G326" s="9">
        <f t="shared" si="169"/>
        <v>0</v>
      </c>
      <c r="H326" s="21"/>
    </row>
    <row r="327" spans="1:8" x14ac:dyDescent="0.25">
      <c r="A327" s="7" t="s">
        <v>166</v>
      </c>
      <c r="B327" s="8" t="s">
        <v>515</v>
      </c>
      <c r="C327" s="8" t="s">
        <v>3</v>
      </c>
      <c r="D327" s="8" t="s">
        <v>70</v>
      </c>
      <c r="E327" s="9">
        <f>0</f>
        <v>0</v>
      </c>
      <c r="F327" s="9">
        <f>2892</f>
        <v>2892</v>
      </c>
      <c r="G327" s="9">
        <f>0</f>
        <v>0</v>
      </c>
      <c r="H327" s="21"/>
    </row>
    <row r="328" spans="1:8" ht="28.95" customHeight="1" x14ac:dyDescent="0.25">
      <c r="A328" s="7" t="s">
        <v>328</v>
      </c>
      <c r="B328" s="8" t="s">
        <v>74</v>
      </c>
      <c r="C328" s="8"/>
      <c r="D328" s="8"/>
      <c r="E328" s="9">
        <f>E329</f>
        <v>123505.1</v>
      </c>
      <c r="F328" s="9">
        <f t="shared" ref="F328:G328" si="170">F329</f>
        <v>60159.1</v>
      </c>
      <c r="G328" s="9">
        <f t="shared" si="170"/>
        <v>72714.399999999994</v>
      </c>
      <c r="H328" s="21"/>
    </row>
    <row r="329" spans="1:8" ht="29.4" customHeight="1" x14ac:dyDescent="0.25">
      <c r="A329" s="7" t="s">
        <v>158</v>
      </c>
      <c r="B329" s="8" t="s">
        <v>74</v>
      </c>
      <c r="C329" s="8" t="s">
        <v>3</v>
      </c>
      <c r="D329" s="8"/>
      <c r="E329" s="9">
        <f>E330</f>
        <v>123505.1</v>
      </c>
      <c r="F329" s="9">
        <f t="shared" ref="F329:G329" si="171">F330</f>
        <v>60159.1</v>
      </c>
      <c r="G329" s="9">
        <f t="shared" si="171"/>
        <v>72714.399999999994</v>
      </c>
      <c r="H329" s="21"/>
    </row>
    <row r="330" spans="1:8" ht="16.95" customHeight="1" x14ac:dyDescent="0.25">
      <c r="A330" s="7" t="s">
        <v>376</v>
      </c>
      <c r="B330" s="8" t="s">
        <v>74</v>
      </c>
      <c r="C330" s="8" t="s">
        <v>3</v>
      </c>
      <c r="D330" s="8" t="s">
        <v>375</v>
      </c>
      <c r="E330" s="9">
        <f>123505.1</f>
        <v>123505.1</v>
      </c>
      <c r="F330" s="9">
        <f>60159.1</f>
        <v>60159.1</v>
      </c>
      <c r="G330" s="9">
        <v>72714.399999999994</v>
      </c>
      <c r="H330" s="21"/>
    </row>
    <row r="331" spans="1:8" ht="16.95" customHeight="1" x14ac:dyDescent="0.25">
      <c r="A331" s="7" t="s">
        <v>15</v>
      </c>
      <c r="B331" s="8" t="s">
        <v>75</v>
      </c>
      <c r="C331" s="8"/>
      <c r="D331" s="8"/>
      <c r="E331" s="9">
        <f>E332+E345+E352</f>
        <v>49987.700000000004</v>
      </c>
      <c r="F331" s="9">
        <f t="shared" ref="F331:G331" si="172">F332+F345+F352</f>
        <v>3765.4</v>
      </c>
      <c r="G331" s="9">
        <f t="shared" si="172"/>
        <v>5565.4</v>
      </c>
      <c r="H331" s="21"/>
    </row>
    <row r="332" spans="1:8" ht="16.95" customHeight="1" x14ac:dyDescent="0.25">
      <c r="A332" s="7" t="s">
        <v>24</v>
      </c>
      <c r="B332" s="8" t="s">
        <v>76</v>
      </c>
      <c r="C332" s="8"/>
      <c r="D332" s="8"/>
      <c r="E332" s="9">
        <f>E333+E335+E337+E339+E341</f>
        <v>49734.700000000004</v>
      </c>
      <c r="F332" s="9">
        <f t="shared" ref="F332:G332" si="173">F333+F335+F337+F339+F341</f>
        <v>3635.4</v>
      </c>
      <c r="G332" s="9">
        <f t="shared" si="173"/>
        <v>5435.4</v>
      </c>
      <c r="H332" s="21"/>
    </row>
    <row r="333" spans="1:8" ht="52.8" x14ac:dyDescent="0.25">
      <c r="A333" s="7" t="s">
        <v>117</v>
      </c>
      <c r="B333" s="8" t="s">
        <v>76</v>
      </c>
      <c r="C333" s="8" t="s">
        <v>4</v>
      </c>
      <c r="D333" s="8"/>
      <c r="E333" s="9">
        <f>E334</f>
        <v>541.29999999999995</v>
      </c>
      <c r="F333" s="9">
        <f t="shared" ref="F333:G333" si="174">F334</f>
        <v>346.4</v>
      </c>
      <c r="G333" s="9">
        <f t="shared" si="174"/>
        <v>346.4</v>
      </c>
      <c r="H333" s="21"/>
    </row>
    <row r="334" spans="1:8" x14ac:dyDescent="0.25">
      <c r="A334" s="7" t="s">
        <v>167</v>
      </c>
      <c r="B334" s="8" t="s">
        <v>76</v>
      </c>
      <c r="C334" s="8" t="s">
        <v>4</v>
      </c>
      <c r="D334" s="8" t="s">
        <v>73</v>
      </c>
      <c r="E334" s="9">
        <f>541.3</f>
        <v>541.29999999999995</v>
      </c>
      <c r="F334" s="9">
        <f>346.4</f>
        <v>346.4</v>
      </c>
      <c r="G334" s="9">
        <f>346.4</f>
        <v>346.4</v>
      </c>
      <c r="H334" s="21"/>
    </row>
    <row r="335" spans="1:8" ht="26.4" x14ac:dyDescent="0.25">
      <c r="A335" s="7" t="s">
        <v>118</v>
      </c>
      <c r="B335" s="8" t="s">
        <v>76</v>
      </c>
      <c r="C335" s="8" t="s">
        <v>0</v>
      </c>
      <c r="D335" s="8"/>
      <c r="E335" s="9">
        <f>E336</f>
        <v>245.7</v>
      </c>
      <c r="F335" s="9">
        <f t="shared" ref="F335:G335" si="175">F336</f>
        <v>170</v>
      </c>
      <c r="G335" s="9">
        <f t="shared" si="175"/>
        <v>170</v>
      </c>
      <c r="H335" s="21"/>
    </row>
    <row r="336" spans="1:8" x14ac:dyDescent="0.25">
      <c r="A336" s="7" t="s">
        <v>167</v>
      </c>
      <c r="B336" s="8" t="s">
        <v>76</v>
      </c>
      <c r="C336" s="8" t="s">
        <v>0</v>
      </c>
      <c r="D336" s="8" t="s">
        <v>73</v>
      </c>
      <c r="E336" s="9">
        <f>245.7</f>
        <v>245.7</v>
      </c>
      <c r="F336" s="9">
        <f>170</f>
        <v>170</v>
      </c>
      <c r="G336" s="9">
        <f>170</f>
        <v>170</v>
      </c>
      <c r="H336" s="21"/>
    </row>
    <row r="337" spans="1:8" ht="26.4" x14ac:dyDescent="0.25">
      <c r="A337" s="7" t="s">
        <v>158</v>
      </c>
      <c r="B337" s="8" t="s">
        <v>76</v>
      </c>
      <c r="C337" s="8" t="s">
        <v>3</v>
      </c>
      <c r="D337" s="8"/>
      <c r="E337" s="9">
        <f>E338</f>
        <v>10344.9</v>
      </c>
      <c r="F337" s="9">
        <f t="shared" ref="F337" si="176">F338</f>
        <v>3119</v>
      </c>
      <c r="G337" s="9">
        <f>G338</f>
        <v>4919</v>
      </c>
      <c r="H337" s="21"/>
    </row>
    <row r="338" spans="1:8" x14ac:dyDescent="0.25">
      <c r="A338" s="7" t="s">
        <v>167</v>
      </c>
      <c r="B338" s="8" t="s">
        <v>76</v>
      </c>
      <c r="C338" s="8" t="s">
        <v>3</v>
      </c>
      <c r="D338" s="8" t="s">
        <v>73</v>
      </c>
      <c r="E338" s="9">
        <f>10344.9</f>
        <v>10344.9</v>
      </c>
      <c r="F338" s="9">
        <f>4919-1800</f>
        <v>3119</v>
      </c>
      <c r="G338" s="9">
        <f>4919</f>
        <v>4919</v>
      </c>
      <c r="H338" s="21"/>
    </row>
    <row r="339" spans="1:8" x14ac:dyDescent="0.25">
      <c r="A339" s="7" t="s">
        <v>152</v>
      </c>
      <c r="B339" s="8" t="s">
        <v>76</v>
      </c>
      <c r="C339" s="8" t="s">
        <v>1</v>
      </c>
      <c r="D339" s="8"/>
      <c r="E339" s="9">
        <f>E340</f>
        <v>6</v>
      </c>
      <c r="F339" s="9">
        <f t="shared" ref="F339:G339" si="177">F340</f>
        <v>0</v>
      </c>
      <c r="G339" s="9">
        <f t="shared" si="177"/>
        <v>0</v>
      </c>
      <c r="H339" s="21"/>
    </row>
    <row r="340" spans="1:8" x14ac:dyDescent="0.25">
      <c r="A340" s="7" t="s">
        <v>167</v>
      </c>
      <c r="B340" s="8" t="s">
        <v>76</v>
      </c>
      <c r="C340" s="8" t="s">
        <v>1</v>
      </c>
      <c r="D340" s="8" t="s">
        <v>73</v>
      </c>
      <c r="E340" s="9">
        <f>6</f>
        <v>6</v>
      </c>
      <c r="F340" s="9">
        <f>0</f>
        <v>0</v>
      </c>
      <c r="G340" s="9">
        <f>0</f>
        <v>0</v>
      </c>
      <c r="H340" s="21"/>
    </row>
    <row r="341" spans="1:8" ht="26.4" x14ac:dyDescent="0.25">
      <c r="A341" s="7" t="s">
        <v>417</v>
      </c>
      <c r="B341" s="8" t="s">
        <v>416</v>
      </c>
      <c r="C341" s="8"/>
      <c r="D341" s="8"/>
      <c r="E341" s="9">
        <f t="shared" ref="E341:G343" si="178">E342</f>
        <v>38596.800000000003</v>
      </c>
      <c r="F341" s="9">
        <f t="shared" si="178"/>
        <v>0</v>
      </c>
      <c r="G341" s="9">
        <f t="shared" si="178"/>
        <v>0</v>
      </c>
      <c r="H341" s="21"/>
    </row>
    <row r="342" spans="1:8" ht="40.950000000000003" customHeight="1" x14ac:dyDescent="0.25">
      <c r="A342" s="7" t="s">
        <v>414</v>
      </c>
      <c r="B342" s="8" t="s">
        <v>415</v>
      </c>
      <c r="C342" s="8"/>
      <c r="D342" s="8"/>
      <c r="E342" s="9">
        <f t="shared" si="178"/>
        <v>38596.800000000003</v>
      </c>
      <c r="F342" s="9">
        <f t="shared" si="178"/>
        <v>0</v>
      </c>
      <c r="G342" s="9">
        <f t="shared" si="178"/>
        <v>0</v>
      </c>
      <c r="H342" s="21"/>
    </row>
    <row r="343" spans="1:8" ht="26.4" x14ac:dyDescent="0.25">
      <c r="A343" s="7" t="s">
        <v>158</v>
      </c>
      <c r="B343" s="8" t="s">
        <v>415</v>
      </c>
      <c r="C343" s="8" t="s">
        <v>3</v>
      </c>
      <c r="D343" s="8"/>
      <c r="E343" s="9">
        <f t="shared" si="178"/>
        <v>38596.800000000003</v>
      </c>
      <c r="F343" s="9">
        <f t="shared" si="178"/>
        <v>0</v>
      </c>
      <c r="G343" s="9">
        <f t="shared" si="178"/>
        <v>0</v>
      </c>
      <c r="H343" s="21"/>
    </row>
    <row r="344" spans="1:8" ht="15" customHeight="1" x14ac:dyDescent="0.25">
      <c r="A344" s="7" t="s">
        <v>167</v>
      </c>
      <c r="B344" s="8" t="s">
        <v>415</v>
      </c>
      <c r="C344" s="8" t="s">
        <v>3</v>
      </c>
      <c r="D344" s="8" t="s">
        <v>73</v>
      </c>
      <c r="E344" s="9">
        <f>38596.8</f>
        <v>38596.800000000003</v>
      </c>
      <c r="F344" s="9">
        <v>0</v>
      </c>
      <c r="G344" s="9">
        <v>0</v>
      </c>
      <c r="H344" s="21"/>
    </row>
    <row r="345" spans="1:8" ht="52.8" x14ac:dyDescent="0.25">
      <c r="A345" s="7" t="s">
        <v>289</v>
      </c>
      <c r="B345" s="8" t="s">
        <v>77</v>
      </c>
      <c r="C345" s="8"/>
      <c r="D345" s="8"/>
      <c r="E345" s="9">
        <f>E346+E348+E350</f>
        <v>188.5</v>
      </c>
      <c r="F345" s="9">
        <f t="shared" ref="F345:G345" si="179">F346+F348+F350</f>
        <v>100</v>
      </c>
      <c r="G345" s="9">
        <f t="shared" si="179"/>
        <v>100</v>
      </c>
      <c r="H345" s="21"/>
    </row>
    <row r="346" spans="1:8" ht="52.8" x14ac:dyDescent="0.25">
      <c r="A346" s="7" t="s">
        <v>117</v>
      </c>
      <c r="B346" s="8" t="s">
        <v>77</v>
      </c>
      <c r="C346" s="8" t="s">
        <v>4</v>
      </c>
      <c r="D346" s="8"/>
      <c r="E346" s="9">
        <f>E347</f>
        <v>40</v>
      </c>
      <c r="F346" s="9">
        <f t="shared" ref="F346:G346" si="180">F347</f>
        <v>0</v>
      </c>
      <c r="G346" s="9">
        <f t="shared" si="180"/>
        <v>0</v>
      </c>
      <c r="H346" s="21"/>
    </row>
    <row r="347" spans="1:8" ht="15.6" customHeight="1" x14ac:dyDescent="0.25">
      <c r="A347" s="7" t="s">
        <v>167</v>
      </c>
      <c r="B347" s="8" t="s">
        <v>77</v>
      </c>
      <c r="C347" s="8" t="s">
        <v>4</v>
      </c>
      <c r="D347" s="8" t="s">
        <v>73</v>
      </c>
      <c r="E347" s="9">
        <f>40</f>
        <v>40</v>
      </c>
      <c r="F347" s="9">
        <f>0</f>
        <v>0</v>
      </c>
      <c r="G347" s="9">
        <f>0</f>
        <v>0</v>
      </c>
      <c r="H347" s="21"/>
    </row>
    <row r="348" spans="1:8" ht="26.4" x14ac:dyDescent="0.25">
      <c r="A348" s="7" t="s">
        <v>118</v>
      </c>
      <c r="B348" s="8" t="s">
        <v>77</v>
      </c>
      <c r="C348" s="8" t="s">
        <v>0</v>
      </c>
      <c r="D348" s="8"/>
      <c r="E348" s="9">
        <f>E349</f>
        <v>136</v>
      </c>
      <c r="F348" s="9">
        <f t="shared" ref="F348:G348" si="181">F349</f>
        <v>100</v>
      </c>
      <c r="G348" s="9">
        <f t="shared" si="181"/>
        <v>100</v>
      </c>
      <c r="H348" s="21"/>
    </row>
    <row r="349" spans="1:8" ht="16.2" customHeight="1" x14ac:dyDescent="0.25">
      <c r="A349" s="7" t="s">
        <v>167</v>
      </c>
      <c r="B349" s="8" t="s">
        <v>77</v>
      </c>
      <c r="C349" s="8" t="s">
        <v>0</v>
      </c>
      <c r="D349" s="8" t="s">
        <v>73</v>
      </c>
      <c r="E349" s="9">
        <f>136</f>
        <v>136</v>
      </c>
      <c r="F349" s="9">
        <f>100</f>
        <v>100</v>
      </c>
      <c r="G349" s="9">
        <f>100</f>
        <v>100</v>
      </c>
      <c r="H349" s="21"/>
    </row>
    <row r="350" spans="1:8" ht="26.4" x14ac:dyDescent="0.25">
      <c r="A350" s="7" t="s">
        <v>158</v>
      </c>
      <c r="B350" s="8" t="s">
        <v>77</v>
      </c>
      <c r="C350" s="8" t="s">
        <v>3</v>
      </c>
      <c r="D350" s="8"/>
      <c r="E350" s="9">
        <f>E351</f>
        <v>12.5</v>
      </c>
      <c r="F350" s="9">
        <f t="shared" ref="F350:G350" si="182">F351</f>
        <v>0</v>
      </c>
      <c r="G350" s="9">
        <f t="shared" si="182"/>
        <v>0</v>
      </c>
      <c r="H350" s="21"/>
    </row>
    <row r="351" spans="1:8" x14ac:dyDescent="0.25">
      <c r="A351" s="7" t="s">
        <v>167</v>
      </c>
      <c r="B351" s="8" t="s">
        <v>77</v>
      </c>
      <c r="C351" s="8" t="s">
        <v>3</v>
      </c>
      <c r="D351" s="8" t="s">
        <v>73</v>
      </c>
      <c r="E351" s="9">
        <f>12.5</f>
        <v>12.5</v>
      </c>
      <c r="F351" s="9">
        <f>0</f>
        <v>0</v>
      </c>
      <c r="G351" s="9">
        <f>0</f>
        <v>0</v>
      </c>
      <c r="H351" s="21"/>
    </row>
    <row r="352" spans="1:8" ht="39.6" x14ac:dyDescent="0.25">
      <c r="A352" s="7" t="s">
        <v>290</v>
      </c>
      <c r="B352" s="8" t="s">
        <v>78</v>
      </c>
      <c r="C352" s="8"/>
      <c r="D352" s="8"/>
      <c r="E352" s="9">
        <f>E353</f>
        <v>64.5</v>
      </c>
      <c r="F352" s="9">
        <f t="shared" ref="F352:G352" si="183">F353</f>
        <v>30</v>
      </c>
      <c r="G352" s="9">
        <f t="shared" si="183"/>
        <v>30</v>
      </c>
      <c r="H352" s="21"/>
    </row>
    <row r="353" spans="1:8" ht="26.4" x14ac:dyDescent="0.25">
      <c r="A353" s="7" t="s">
        <v>118</v>
      </c>
      <c r="B353" s="8" t="s">
        <v>78</v>
      </c>
      <c r="C353" s="8" t="s">
        <v>0</v>
      </c>
      <c r="D353" s="8"/>
      <c r="E353" s="9">
        <f>E354</f>
        <v>64.5</v>
      </c>
      <c r="F353" s="9">
        <f t="shared" ref="F353:G353" si="184">F354</f>
        <v>30</v>
      </c>
      <c r="G353" s="9">
        <f t="shared" si="184"/>
        <v>30</v>
      </c>
      <c r="H353" s="21"/>
    </row>
    <row r="354" spans="1:8" ht="15" customHeight="1" x14ac:dyDescent="0.25">
      <c r="A354" s="7" t="s">
        <v>167</v>
      </c>
      <c r="B354" s="8" t="s">
        <v>78</v>
      </c>
      <c r="C354" s="8" t="s">
        <v>0</v>
      </c>
      <c r="D354" s="8" t="s">
        <v>73</v>
      </c>
      <c r="E354" s="9">
        <f>64.5</f>
        <v>64.5</v>
      </c>
      <c r="F354" s="9">
        <f>30</f>
        <v>30</v>
      </c>
      <c r="G354" s="9">
        <f>30</f>
        <v>30</v>
      </c>
      <c r="H354" s="21"/>
    </row>
    <row r="355" spans="1:8" ht="26.4" x14ac:dyDescent="0.25">
      <c r="A355" s="7" t="s">
        <v>16</v>
      </c>
      <c r="B355" s="8" t="s">
        <v>79</v>
      </c>
      <c r="C355" s="8"/>
      <c r="D355" s="8"/>
      <c r="E355" s="9">
        <f>E356+E364</f>
        <v>69080.800000000003</v>
      </c>
      <c r="F355" s="9">
        <f>F356+F364</f>
        <v>20982.9</v>
      </c>
      <c r="G355" s="9">
        <f>G356+G364</f>
        <v>100</v>
      </c>
      <c r="H355" s="21"/>
    </row>
    <row r="356" spans="1:8" ht="26.4" x14ac:dyDescent="0.25">
      <c r="A356" s="7" t="s">
        <v>419</v>
      </c>
      <c r="B356" s="8" t="s">
        <v>418</v>
      </c>
      <c r="C356" s="8"/>
      <c r="D356" s="8"/>
      <c r="E356" s="9">
        <f>E357+E359+E361</f>
        <v>68980.800000000003</v>
      </c>
      <c r="F356" s="9">
        <f t="shared" ref="F356:G356" si="185">F357+F359+F361</f>
        <v>20882.900000000001</v>
      </c>
      <c r="G356" s="9">
        <f t="shared" si="185"/>
        <v>0</v>
      </c>
      <c r="H356" s="21"/>
    </row>
    <row r="357" spans="1:8" ht="26.4" x14ac:dyDescent="0.25">
      <c r="A357" s="7" t="s">
        <v>118</v>
      </c>
      <c r="B357" s="8" t="s">
        <v>418</v>
      </c>
      <c r="C357" s="8" t="s">
        <v>0</v>
      </c>
      <c r="D357" s="8"/>
      <c r="E357" s="9">
        <f>E358</f>
        <v>552.9</v>
      </c>
      <c r="F357" s="9">
        <f t="shared" ref="F357:G357" si="186">F358</f>
        <v>0</v>
      </c>
      <c r="G357" s="9">
        <f t="shared" si="186"/>
        <v>0</v>
      </c>
      <c r="H357" s="21"/>
    </row>
    <row r="358" spans="1:8" ht="15" customHeight="1" x14ac:dyDescent="0.25">
      <c r="A358" s="7" t="s">
        <v>166</v>
      </c>
      <c r="B358" s="8" t="s">
        <v>418</v>
      </c>
      <c r="C358" s="8" t="s">
        <v>0</v>
      </c>
      <c r="D358" s="8" t="s">
        <v>70</v>
      </c>
      <c r="E358" s="9">
        <f>552.9</f>
        <v>552.9</v>
      </c>
      <c r="F358" s="9">
        <v>0</v>
      </c>
      <c r="G358" s="9">
        <v>0</v>
      </c>
      <c r="H358" s="21"/>
    </row>
    <row r="359" spans="1:8" ht="30.6" customHeight="1" x14ac:dyDescent="0.25">
      <c r="A359" s="7" t="s">
        <v>158</v>
      </c>
      <c r="B359" s="8" t="s">
        <v>418</v>
      </c>
      <c r="C359" s="8" t="s">
        <v>3</v>
      </c>
      <c r="D359" s="8"/>
      <c r="E359" s="9">
        <f>E360</f>
        <v>718.9</v>
      </c>
      <c r="F359" s="9">
        <f>F360</f>
        <v>20882.900000000001</v>
      </c>
      <c r="G359" s="9">
        <f>G360</f>
        <v>0</v>
      </c>
      <c r="H359" s="21"/>
    </row>
    <row r="360" spans="1:8" ht="15.6" customHeight="1" x14ac:dyDescent="0.25">
      <c r="A360" s="7" t="s">
        <v>166</v>
      </c>
      <c r="B360" s="8" t="s">
        <v>418</v>
      </c>
      <c r="C360" s="8" t="s">
        <v>3</v>
      </c>
      <c r="D360" s="8" t="s">
        <v>70</v>
      </c>
      <c r="E360" s="9">
        <f>718.9</f>
        <v>718.9</v>
      </c>
      <c r="F360" s="9">
        <f>20882.9</f>
        <v>20882.900000000001</v>
      </c>
      <c r="G360" s="9">
        <f>0</f>
        <v>0</v>
      </c>
      <c r="H360" s="21"/>
    </row>
    <row r="361" spans="1:8" ht="30" customHeight="1" x14ac:dyDescent="0.25">
      <c r="A361" s="7" t="s">
        <v>518</v>
      </c>
      <c r="B361" s="8" t="s">
        <v>517</v>
      </c>
      <c r="C361" s="8"/>
      <c r="D361" s="8"/>
      <c r="E361" s="9">
        <f>E362</f>
        <v>67709</v>
      </c>
      <c r="F361" s="9">
        <f t="shared" ref="F361:G361" si="187">F362</f>
        <v>0</v>
      </c>
      <c r="G361" s="9">
        <f t="shared" si="187"/>
        <v>0</v>
      </c>
      <c r="H361" s="21"/>
    </row>
    <row r="362" spans="1:8" ht="26.4" x14ac:dyDescent="0.25">
      <c r="A362" s="7" t="s">
        <v>118</v>
      </c>
      <c r="B362" s="8" t="s">
        <v>517</v>
      </c>
      <c r="C362" s="8" t="s">
        <v>0</v>
      </c>
      <c r="D362" s="8"/>
      <c r="E362" s="9">
        <f>E363</f>
        <v>67709</v>
      </c>
      <c r="F362" s="9">
        <f t="shared" ref="F362:G362" si="188">F363</f>
        <v>0</v>
      </c>
      <c r="G362" s="9">
        <f t="shared" si="188"/>
        <v>0</v>
      </c>
      <c r="H362" s="21"/>
    </row>
    <row r="363" spans="1:8" ht="15" customHeight="1" x14ac:dyDescent="0.25">
      <c r="A363" s="7" t="s">
        <v>166</v>
      </c>
      <c r="B363" s="8" t="s">
        <v>517</v>
      </c>
      <c r="C363" s="8" t="s">
        <v>0</v>
      </c>
      <c r="D363" s="8" t="s">
        <v>70</v>
      </c>
      <c r="E363" s="9">
        <f>67709</f>
        <v>67709</v>
      </c>
      <c r="F363" s="9">
        <f>0</f>
        <v>0</v>
      </c>
      <c r="G363" s="9">
        <f>0</f>
        <v>0</v>
      </c>
      <c r="H363" s="21"/>
    </row>
    <row r="364" spans="1:8" ht="15" customHeight="1" x14ac:dyDescent="0.25">
      <c r="A364" s="7" t="s">
        <v>330</v>
      </c>
      <c r="B364" s="8" t="s">
        <v>329</v>
      </c>
      <c r="C364" s="8"/>
      <c r="D364" s="8"/>
      <c r="E364" s="9">
        <f>E365</f>
        <v>100</v>
      </c>
      <c r="F364" s="9">
        <f t="shared" ref="F364:G364" si="189">F365</f>
        <v>100</v>
      </c>
      <c r="G364" s="9">
        <f t="shared" si="189"/>
        <v>100</v>
      </c>
      <c r="H364" s="21"/>
    </row>
    <row r="365" spans="1:8" ht="26.4" x14ac:dyDescent="0.25">
      <c r="A365" s="7" t="s">
        <v>158</v>
      </c>
      <c r="B365" s="8" t="s">
        <v>329</v>
      </c>
      <c r="C365" s="8" t="s">
        <v>3</v>
      </c>
      <c r="D365" s="8"/>
      <c r="E365" s="9">
        <f>E366</f>
        <v>100</v>
      </c>
      <c r="F365" s="9">
        <f t="shared" ref="F365:G365" si="190">F366</f>
        <v>100</v>
      </c>
      <c r="G365" s="9">
        <f t="shared" si="190"/>
        <v>100</v>
      </c>
      <c r="H365" s="21"/>
    </row>
    <row r="366" spans="1:8" ht="15.6" customHeight="1" x14ac:dyDescent="0.25">
      <c r="A366" s="7" t="s">
        <v>376</v>
      </c>
      <c r="B366" s="8" t="s">
        <v>329</v>
      </c>
      <c r="C366" s="8" t="s">
        <v>3</v>
      </c>
      <c r="D366" s="8" t="s">
        <v>375</v>
      </c>
      <c r="E366" s="9">
        <f>100</f>
        <v>100</v>
      </c>
      <c r="F366" s="9">
        <f>100</f>
        <v>100</v>
      </c>
      <c r="G366" s="9">
        <f>100</f>
        <v>100</v>
      </c>
      <c r="H366" s="21"/>
    </row>
    <row r="367" spans="1:8" ht="30" customHeight="1" x14ac:dyDescent="0.25">
      <c r="A367" s="7" t="s">
        <v>12</v>
      </c>
      <c r="B367" s="8" t="s">
        <v>80</v>
      </c>
      <c r="C367" s="8"/>
      <c r="D367" s="8"/>
      <c r="E367" s="9">
        <f>E368</f>
        <v>4597.2</v>
      </c>
      <c r="F367" s="9">
        <f t="shared" ref="F367:G367" si="191">F368</f>
        <v>3948.5</v>
      </c>
      <c r="G367" s="9">
        <f t="shared" si="191"/>
        <v>3948.5</v>
      </c>
      <c r="H367" s="21"/>
    </row>
    <row r="368" spans="1:8" ht="28.95" customHeight="1" x14ac:dyDescent="0.25">
      <c r="A368" s="7" t="s">
        <v>81</v>
      </c>
      <c r="B368" s="8" t="s">
        <v>82</v>
      </c>
      <c r="C368" s="8"/>
      <c r="D368" s="8"/>
      <c r="E368" s="9">
        <f>E370+E371+E373</f>
        <v>4597.2</v>
      </c>
      <c r="F368" s="9">
        <f t="shared" ref="F368:G368" si="192">F370+F371+F373</f>
        <v>3948.5</v>
      </c>
      <c r="G368" s="9">
        <f t="shared" si="192"/>
        <v>3948.5</v>
      </c>
      <c r="H368" s="21"/>
    </row>
    <row r="369" spans="1:8" ht="26.4" x14ac:dyDescent="0.25">
      <c r="A369" s="7" t="s">
        <v>118</v>
      </c>
      <c r="B369" s="8" t="s">
        <v>82</v>
      </c>
      <c r="C369" s="8" t="s">
        <v>0</v>
      </c>
      <c r="D369" s="8"/>
      <c r="E369" s="9">
        <f>E370</f>
        <v>265.8</v>
      </c>
      <c r="F369" s="9">
        <f t="shared" ref="F369:G369" si="193">F370</f>
        <v>200</v>
      </c>
      <c r="G369" s="9">
        <f t="shared" si="193"/>
        <v>200</v>
      </c>
      <c r="H369" s="21"/>
    </row>
    <row r="370" spans="1:8" x14ac:dyDescent="0.25">
      <c r="A370" s="7" t="s">
        <v>160</v>
      </c>
      <c r="B370" s="8" t="s">
        <v>82</v>
      </c>
      <c r="C370" s="8" t="s">
        <v>0</v>
      </c>
      <c r="D370" s="8" t="s">
        <v>40</v>
      </c>
      <c r="E370" s="9">
        <f>265.8</f>
        <v>265.8</v>
      </c>
      <c r="F370" s="9">
        <v>200</v>
      </c>
      <c r="G370" s="9">
        <v>200</v>
      </c>
      <c r="H370" s="21"/>
    </row>
    <row r="371" spans="1:8" ht="26.4" x14ac:dyDescent="0.25">
      <c r="A371" s="7" t="s">
        <v>158</v>
      </c>
      <c r="B371" s="8" t="s">
        <v>82</v>
      </c>
      <c r="C371" s="8" t="s">
        <v>3</v>
      </c>
      <c r="D371" s="8"/>
      <c r="E371" s="9">
        <f>E372</f>
        <v>108.6</v>
      </c>
      <c r="F371" s="9">
        <f t="shared" ref="F371:G371" si="194">F372</f>
        <v>0</v>
      </c>
      <c r="G371" s="9">
        <f t="shared" si="194"/>
        <v>0</v>
      </c>
      <c r="H371" s="21"/>
    </row>
    <row r="372" spans="1:8" x14ac:dyDescent="0.25">
      <c r="A372" s="7" t="s">
        <v>160</v>
      </c>
      <c r="B372" s="8" t="s">
        <v>82</v>
      </c>
      <c r="C372" s="8" t="s">
        <v>3</v>
      </c>
      <c r="D372" s="8" t="s">
        <v>40</v>
      </c>
      <c r="E372" s="9">
        <f>108.6</f>
        <v>108.6</v>
      </c>
      <c r="F372" s="9">
        <f>0</f>
        <v>0</v>
      </c>
      <c r="G372" s="9">
        <f>0</f>
        <v>0</v>
      </c>
      <c r="H372" s="21"/>
    </row>
    <row r="373" spans="1:8" ht="38.25" customHeight="1" x14ac:dyDescent="0.25">
      <c r="A373" s="31" t="s">
        <v>307</v>
      </c>
      <c r="B373" s="8" t="s">
        <v>83</v>
      </c>
      <c r="C373" s="8"/>
      <c r="D373" s="8"/>
      <c r="E373" s="9">
        <f>E374+E376</f>
        <v>4222.8</v>
      </c>
      <c r="F373" s="9">
        <f t="shared" ref="F373:G373" si="195">F374+F376</f>
        <v>3748.5</v>
      </c>
      <c r="G373" s="9">
        <f t="shared" si="195"/>
        <v>3748.5</v>
      </c>
      <c r="H373" s="21"/>
    </row>
    <row r="374" spans="1:8" ht="26.4" x14ac:dyDescent="0.25">
      <c r="A374" s="7" t="s">
        <v>118</v>
      </c>
      <c r="B374" s="8" t="s">
        <v>83</v>
      </c>
      <c r="C374" s="8" t="s">
        <v>0</v>
      </c>
      <c r="D374" s="8"/>
      <c r="E374" s="9">
        <f>E375</f>
        <v>3213</v>
      </c>
      <c r="F374" s="9">
        <f t="shared" ref="F374:G374" si="196">F375</f>
        <v>3748.5</v>
      </c>
      <c r="G374" s="9">
        <f t="shared" si="196"/>
        <v>3748.5</v>
      </c>
      <c r="H374" s="21"/>
    </row>
    <row r="375" spans="1:8" x14ac:dyDescent="0.25">
      <c r="A375" s="31" t="s">
        <v>160</v>
      </c>
      <c r="B375" s="8" t="s">
        <v>83</v>
      </c>
      <c r="C375" s="8" t="s">
        <v>0</v>
      </c>
      <c r="D375" s="8" t="s">
        <v>40</v>
      </c>
      <c r="E375" s="9">
        <f>3213</f>
        <v>3213</v>
      </c>
      <c r="F375" s="9">
        <v>3748.5</v>
      </c>
      <c r="G375" s="9">
        <v>3748.5</v>
      </c>
      <c r="H375" s="21"/>
    </row>
    <row r="376" spans="1:8" ht="26.4" x14ac:dyDescent="0.25">
      <c r="A376" s="7" t="s">
        <v>158</v>
      </c>
      <c r="B376" s="8" t="s">
        <v>83</v>
      </c>
      <c r="C376" s="8" t="s">
        <v>3</v>
      </c>
      <c r="D376" s="8"/>
      <c r="E376" s="9">
        <f>E377</f>
        <v>1009.8</v>
      </c>
      <c r="F376" s="9">
        <f t="shared" ref="F376:G376" si="197">F377</f>
        <v>0</v>
      </c>
      <c r="G376" s="9">
        <f t="shared" si="197"/>
        <v>0</v>
      </c>
      <c r="H376" s="21"/>
    </row>
    <row r="377" spans="1:8" x14ac:dyDescent="0.25">
      <c r="A377" s="31" t="s">
        <v>160</v>
      </c>
      <c r="B377" s="8" t="s">
        <v>83</v>
      </c>
      <c r="C377" s="8" t="s">
        <v>3</v>
      </c>
      <c r="D377" s="8" t="s">
        <v>40</v>
      </c>
      <c r="E377" s="9">
        <f>1009.8</f>
        <v>1009.8</v>
      </c>
      <c r="F377" s="9">
        <f>0</f>
        <v>0</v>
      </c>
      <c r="G377" s="9">
        <f>0</f>
        <v>0</v>
      </c>
      <c r="H377" s="21"/>
    </row>
    <row r="378" spans="1:8" ht="26.4" x14ac:dyDescent="0.25">
      <c r="A378" s="7" t="s">
        <v>135</v>
      </c>
      <c r="B378" s="8" t="s">
        <v>136</v>
      </c>
      <c r="C378" s="8"/>
      <c r="D378" s="8"/>
      <c r="E378" s="9">
        <f>E379+E382+E385</f>
        <v>1687.6</v>
      </c>
      <c r="F378" s="9">
        <f t="shared" ref="F378:G378" si="198">F379+F382+F385</f>
        <v>1211.2</v>
      </c>
      <c r="G378" s="9">
        <f t="shared" si="198"/>
        <v>0</v>
      </c>
      <c r="H378" s="21"/>
    </row>
    <row r="379" spans="1:8" ht="43.2" customHeight="1" x14ac:dyDescent="0.25">
      <c r="A379" s="7" t="s">
        <v>137</v>
      </c>
      <c r="B379" s="8" t="s">
        <v>138</v>
      </c>
      <c r="C379" s="8"/>
      <c r="D379" s="8"/>
      <c r="E379" s="9">
        <f>E380</f>
        <v>656.3</v>
      </c>
      <c r="F379" s="9">
        <f t="shared" ref="F379:G380" si="199">F380</f>
        <v>200</v>
      </c>
      <c r="G379" s="9">
        <f t="shared" si="199"/>
        <v>0</v>
      </c>
      <c r="H379" s="21"/>
    </row>
    <row r="380" spans="1:8" ht="15" customHeight="1" x14ac:dyDescent="0.25">
      <c r="A380" s="7" t="s">
        <v>119</v>
      </c>
      <c r="B380" s="8" t="s">
        <v>138</v>
      </c>
      <c r="C380" s="8" t="s">
        <v>2</v>
      </c>
      <c r="D380" s="8"/>
      <c r="E380" s="9">
        <f>E381</f>
        <v>656.3</v>
      </c>
      <c r="F380" s="9">
        <f t="shared" si="199"/>
        <v>200</v>
      </c>
      <c r="G380" s="9">
        <f t="shared" si="199"/>
        <v>0</v>
      </c>
      <c r="H380" s="21"/>
    </row>
    <row r="381" spans="1:8" ht="15" customHeight="1" x14ac:dyDescent="0.25">
      <c r="A381" s="7" t="s">
        <v>161</v>
      </c>
      <c r="B381" s="8" t="s">
        <v>138</v>
      </c>
      <c r="C381" s="8" t="s">
        <v>2</v>
      </c>
      <c r="D381" s="8" t="s">
        <v>46</v>
      </c>
      <c r="E381" s="9">
        <f>656.3</f>
        <v>656.3</v>
      </c>
      <c r="F381" s="9">
        <f>200</f>
        <v>200</v>
      </c>
      <c r="G381" s="9">
        <f>0</f>
        <v>0</v>
      </c>
      <c r="H381" s="21"/>
    </row>
    <row r="382" spans="1:8" ht="26.4" x14ac:dyDescent="0.25">
      <c r="A382" s="7" t="s">
        <v>139</v>
      </c>
      <c r="B382" s="8" t="s">
        <v>140</v>
      </c>
      <c r="C382" s="8"/>
      <c r="D382" s="8"/>
      <c r="E382" s="9">
        <f>E383</f>
        <v>600</v>
      </c>
      <c r="F382" s="9">
        <f t="shared" ref="F382:G382" si="200">F383</f>
        <v>600</v>
      </c>
      <c r="G382" s="9">
        <f t="shared" si="200"/>
        <v>0</v>
      </c>
      <c r="H382" s="21"/>
    </row>
    <row r="383" spans="1:8" ht="26.4" x14ac:dyDescent="0.25">
      <c r="A383" s="7" t="s">
        <v>118</v>
      </c>
      <c r="B383" s="8" t="s">
        <v>140</v>
      </c>
      <c r="C383" s="8" t="s">
        <v>0</v>
      </c>
      <c r="D383" s="8"/>
      <c r="E383" s="9">
        <f>E384</f>
        <v>600</v>
      </c>
      <c r="F383" s="9">
        <f t="shared" ref="F383:G383" si="201">F384</f>
        <v>600</v>
      </c>
      <c r="G383" s="9">
        <f t="shared" si="201"/>
        <v>0</v>
      </c>
      <c r="H383" s="21"/>
    </row>
    <row r="384" spans="1:8" x14ac:dyDescent="0.25">
      <c r="A384" s="7" t="s">
        <v>161</v>
      </c>
      <c r="B384" s="8" t="s">
        <v>140</v>
      </c>
      <c r="C384" s="8" t="s">
        <v>0</v>
      </c>
      <c r="D384" s="8" t="s">
        <v>46</v>
      </c>
      <c r="E384" s="9">
        <f>600</f>
        <v>600</v>
      </c>
      <c r="F384" s="9">
        <v>600</v>
      </c>
      <c r="G384" s="9">
        <v>0</v>
      </c>
      <c r="H384" s="21"/>
    </row>
    <row r="385" spans="1:8" ht="27.6" customHeight="1" x14ac:dyDescent="0.25">
      <c r="A385" s="7" t="s">
        <v>141</v>
      </c>
      <c r="B385" s="8" t="s">
        <v>142</v>
      </c>
      <c r="C385" s="8"/>
      <c r="D385" s="8"/>
      <c r="E385" s="9">
        <f>E386</f>
        <v>431.29999999999995</v>
      </c>
      <c r="F385" s="9">
        <f t="shared" ref="F385:G385" si="202">F386</f>
        <v>411.2</v>
      </c>
      <c r="G385" s="9">
        <f t="shared" si="202"/>
        <v>0</v>
      </c>
      <c r="H385" s="21"/>
    </row>
    <row r="386" spans="1:8" ht="28.2" customHeight="1" x14ac:dyDescent="0.25">
      <c r="A386" s="7" t="s">
        <v>118</v>
      </c>
      <c r="B386" s="8" t="s">
        <v>142</v>
      </c>
      <c r="C386" s="8" t="s">
        <v>0</v>
      </c>
      <c r="D386" s="8"/>
      <c r="E386" s="9">
        <f>E387</f>
        <v>431.29999999999995</v>
      </c>
      <c r="F386" s="9">
        <f t="shared" ref="F386:G386" si="203">F387</f>
        <v>411.2</v>
      </c>
      <c r="G386" s="9">
        <f t="shared" si="203"/>
        <v>0</v>
      </c>
      <c r="H386" s="21"/>
    </row>
    <row r="387" spans="1:8" ht="15" customHeight="1" x14ac:dyDescent="0.25">
      <c r="A387" s="7" t="s">
        <v>161</v>
      </c>
      <c r="B387" s="8" t="s">
        <v>142</v>
      </c>
      <c r="C387" s="8" t="s">
        <v>0</v>
      </c>
      <c r="D387" s="8" t="s">
        <v>46</v>
      </c>
      <c r="E387" s="9">
        <f>431.4-0.1</f>
        <v>431.29999999999995</v>
      </c>
      <c r="F387" s="9">
        <v>411.2</v>
      </c>
      <c r="G387" s="9">
        <v>0</v>
      </c>
      <c r="H387" s="21"/>
    </row>
    <row r="388" spans="1:8" ht="15" customHeight="1" x14ac:dyDescent="0.25">
      <c r="A388" s="7" t="s">
        <v>299</v>
      </c>
      <c r="B388" s="8" t="s">
        <v>84</v>
      </c>
      <c r="C388" s="8"/>
      <c r="D388" s="8"/>
      <c r="E388" s="9">
        <f>E389+E394+E397</f>
        <v>850</v>
      </c>
      <c r="F388" s="9">
        <f t="shared" ref="F388:G388" si="204">F389+F394+F397</f>
        <v>430</v>
      </c>
      <c r="G388" s="9">
        <f t="shared" si="204"/>
        <v>430</v>
      </c>
      <c r="H388" s="21"/>
    </row>
    <row r="389" spans="1:8" ht="79.2" x14ac:dyDescent="0.25">
      <c r="A389" s="7" t="s">
        <v>304</v>
      </c>
      <c r="B389" s="8" t="s">
        <v>303</v>
      </c>
      <c r="C389" s="8"/>
      <c r="D389" s="8"/>
      <c r="E389" s="9">
        <f>E390+E392</f>
        <v>130</v>
      </c>
      <c r="F389" s="9">
        <f t="shared" ref="F389:G389" si="205">F390+F392</f>
        <v>30</v>
      </c>
      <c r="G389" s="9">
        <f t="shared" si="205"/>
        <v>30</v>
      </c>
      <c r="H389" s="21"/>
    </row>
    <row r="390" spans="1:8" ht="26.4" x14ac:dyDescent="0.25">
      <c r="A390" s="7" t="s">
        <v>118</v>
      </c>
      <c r="B390" s="8" t="s">
        <v>303</v>
      </c>
      <c r="C390" s="8" t="s">
        <v>0</v>
      </c>
      <c r="D390" s="8"/>
      <c r="E390" s="9">
        <f>E391</f>
        <v>40</v>
      </c>
      <c r="F390" s="9">
        <f t="shared" ref="F390:G390" si="206">F391</f>
        <v>0</v>
      </c>
      <c r="G390" s="9">
        <f t="shared" si="206"/>
        <v>0</v>
      </c>
      <c r="H390" s="21"/>
    </row>
    <row r="391" spans="1:8" x14ac:dyDescent="0.25">
      <c r="A391" s="7" t="s">
        <v>164</v>
      </c>
      <c r="B391" s="8" t="s">
        <v>303</v>
      </c>
      <c r="C391" s="8" t="s">
        <v>0</v>
      </c>
      <c r="D391" s="8" t="s">
        <v>61</v>
      </c>
      <c r="E391" s="9">
        <v>40</v>
      </c>
      <c r="F391" s="9">
        <v>0</v>
      </c>
      <c r="G391" s="9">
        <v>0</v>
      </c>
      <c r="H391" s="21"/>
    </row>
    <row r="392" spans="1:8" ht="26.4" x14ac:dyDescent="0.25">
      <c r="A392" s="7" t="s">
        <v>158</v>
      </c>
      <c r="B392" s="8" t="s">
        <v>303</v>
      </c>
      <c r="C392" s="8" t="s">
        <v>3</v>
      </c>
      <c r="D392" s="8"/>
      <c r="E392" s="9">
        <f>E393</f>
        <v>90</v>
      </c>
      <c r="F392" s="9">
        <f t="shared" ref="F392:G392" si="207">F393</f>
        <v>30</v>
      </c>
      <c r="G392" s="9">
        <f t="shared" si="207"/>
        <v>30</v>
      </c>
      <c r="H392" s="21"/>
    </row>
    <row r="393" spans="1:8" x14ac:dyDescent="0.25">
      <c r="A393" s="7" t="s">
        <v>164</v>
      </c>
      <c r="B393" s="8" t="s">
        <v>303</v>
      </c>
      <c r="C393" s="8" t="s">
        <v>3</v>
      </c>
      <c r="D393" s="8" t="s">
        <v>61</v>
      </c>
      <c r="E393" s="9">
        <f>90</f>
        <v>90</v>
      </c>
      <c r="F393" s="9">
        <f>30</f>
        <v>30</v>
      </c>
      <c r="G393" s="9">
        <f>30</f>
        <v>30</v>
      </c>
      <c r="H393" s="21"/>
    </row>
    <row r="394" spans="1:8" ht="39.6" x14ac:dyDescent="0.25">
      <c r="A394" s="7" t="s">
        <v>85</v>
      </c>
      <c r="B394" s="8" t="s">
        <v>86</v>
      </c>
      <c r="C394" s="8"/>
      <c r="D394" s="8"/>
      <c r="E394" s="9">
        <f>E395</f>
        <v>600</v>
      </c>
      <c r="F394" s="9">
        <f t="shared" ref="F394:G394" si="208">F395</f>
        <v>400</v>
      </c>
      <c r="G394" s="9">
        <f t="shared" si="208"/>
        <v>400</v>
      </c>
      <c r="H394" s="21"/>
    </row>
    <row r="395" spans="1:8" ht="26.4" x14ac:dyDescent="0.25">
      <c r="A395" s="7" t="s">
        <v>118</v>
      </c>
      <c r="B395" s="8" t="s">
        <v>86</v>
      </c>
      <c r="C395" s="8" t="s">
        <v>0</v>
      </c>
      <c r="D395" s="8"/>
      <c r="E395" s="9">
        <f>E396</f>
        <v>600</v>
      </c>
      <c r="F395" s="9">
        <f t="shared" ref="F395:G395" si="209">F396</f>
        <v>400</v>
      </c>
      <c r="G395" s="9">
        <f t="shared" si="209"/>
        <v>400</v>
      </c>
      <c r="H395" s="21"/>
    </row>
    <row r="396" spans="1:8" x14ac:dyDescent="0.25">
      <c r="A396" s="7" t="s">
        <v>160</v>
      </c>
      <c r="B396" s="8" t="s">
        <v>86</v>
      </c>
      <c r="C396" s="8" t="s">
        <v>0</v>
      </c>
      <c r="D396" s="8" t="s">
        <v>40</v>
      </c>
      <c r="E396" s="9">
        <f>600</f>
        <v>600</v>
      </c>
      <c r="F396" s="9">
        <f>400</f>
        <v>400</v>
      </c>
      <c r="G396" s="9">
        <v>400</v>
      </c>
      <c r="H396" s="21"/>
    </row>
    <row r="397" spans="1:8" ht="26.4" x14ac:dyDescent="0.25">
      <c r="A397" s="7" t="s">
        <v>421</v>
      </c>
      <c r="B397" s="8" t="s">
        <v>420</v>
      </c>
      <c r="C397" s="8"/>
      <c r="D397" s="8"/>
      <c r="E397" s="9">
        <f>E398</f>
        <v>120</v>
      </c>
      <c r="F397" s="9">
        <f t="shared" ref="F397:G397" si="210">F398</f>
        <v>0</v>
      </c>
      <c r="G397" s="9">
        <f t="shared" si="210"/>
        <v>0</v>
      </c>
      <c r="H397" s="21"/>
    </row>
    <row r="398" spans="1:8" ht="26.4" x14ac:dyDescent="0.25">
      <c r="A398" s="7" t="s">
        <v>118</v>
      </c>
      <c r="B398" s="8" t="s">
        <v>420</v>
      </c>
      <c r="C398" s="8" t="s">
        <v>0</v>
      </c>
      <c r="D398" s="8"/>
      <c r="E398" s="9">
        <f>E399+E400+E401</f>
        <v>120</v>
      </c>
      <c r="F398" s="9">
        <f t="shared" ref="F398:G398" si="211">F399+F400+F401</f>
        <v>0</v>
      </c>
      <c r="G398" s="9">
        <f t="shared" si="211"/>
        <v>0</v>
      </c>
      <c r="H398" s="21"/>
    </row>
    <row r="399" spans="1:8" ht="14.4" customHeight="1" x14ac:dyDescent="0.25">
      <c r="A399" s="7" t="s">
        <v>160</v>
      </c>
      <c r="B399" s="8" t="s">
        <v>420</v>
      </c>
      <c r="C399" s="8" t="s">
        <v>0</v>
      </c>
      <c r="D399" s="8" t="s">
        <v>40</v>
      </c>
      <c r="E399" s="9">
        <v>25</v>
      </c>
      <c r="F399" s="9">
        <v>0</v>
      </c>
      <c r="G399" s="9">
        <v>0</v>
      </c>
      <c r="H399" s="21"/>
    </row>
    <row r="400" spans="1:8" ht="14.4" customHeight="1" x14ac:dyDescent="0.25">
      <c r="A400" s="7" t="s">
        <v>164</v>
      </c>
      <c r="B400" s="8" t="s">
        <v>420</v>
      </c>
      <c r="C400" s="8" t="s">
        <v>0</v>
      </c>
      <c r="D400" s="8" t="s">
        <v>61</v>
      </c>
      <c r="E400" s="9">
        <v>50</v>
      </c>
      <c r="F400" s="9">
        <v>0</v>
      </c>
      <c r="G400" s="9">
        <v>0</v>
      </c>
      <c r="H400" s="21"/>
    </row>
    <row r="401" spans="1:8" ht="14.4" customHeight="1" x14ac:dyDescent="0.25">
      <c r="A401" s="7" t="s">
        <v>166</v>
      </c>
      <c r="B401" s="8" t="s">
        <v>420</v>
      </c>
      <c r="C401" s="8" t="s">
        <v>0</v>
      </c>
      <c r="D401" s="8" t="s">
        <v>70</v>
      </c>
      <c r="E401" s="9">
        <v>45</v>
      </c>
      <c r="F401" s="9">
        <v>0</v>
      </c>
      <c r="G401" s="9">
        <v>0</v>
      </c>
      <c r="H401" s="21"/>
    </row>
    <row r="402" spans="1:8" ht="42.75" customHeight="1" x14ac:dyDescent="0.25">
      <c r="A402" s="7" t="s">
        <v>423</v>
      </c>
      <c r="B402" s="8" t="s">
        <v>422</v>
      </c>
      <c r="C402" s="8"/>
      <c r="D402" s="8"/>
      <c r="E402" s="9">
        <f>E403+E409+E416</f>
        <v>390</v>
      </c>
      <c r="F402" s="9">
        <f t="shared" ref="F402:G402" si="212">F403+F409+F416</f>
        <v>0</v>
      </c>
      <c r="G402" s="9">
        <f t="shared" si="212"/>
        <v>0</v>
      </c>
      <c r="H402" s="21"/>
    </row>
    <row r="403" spans="1:8" ht="42" customHeight="1" x14ac:dyDescent="0.25">
      <c r="A403" s="7" t="s">
        <v>425</v>
      </c>
      <c r="B403" s="8" t="s">
        <v>424</v>
      </c>
      <c r="C403" s="8"/>
      <c r="D403" s="8"/>
      <c r="E403" s="9">
        <f>E404+E407</f>
        <v>27</v>
      </c>
      <c r="F403" s="9">
        <f t="shared" ref="F403:G403" si="213">F404+F407</f>
        <v>0</v>
      </c>
      <c r="G403" s="9">
        <f t="shared" si="213"/>
        <v>0</v>
      </c>
      <c r="H403" s="21"/>
    </row>
    <row r="404" spans="1:8" ht="28.2" customHeight="1" x14ac:dyDescent="0.25">
      <c r="A404" s="7" t="s">
        <v>118</v>
      </c>
      <c r="B404" s="8" t="s">
        <v>424</v>
      </c>
      <c r="C404" s="8" t="s">
        <v>0</v>
      </c>
      <c r="D404" s="8"/>
      <c r="E404" s="9">
        <f>E405+E406</f>
        <v>19</v>
      </c>
      <c r="F404" s="9">
        <f t="shared" ref="F404:G404" si="214">F405+F406</f>
        <v>0</v>
      </c>
      <c r="G404" s="9">
        <f t="shared" si="214"/>
        <v>0</v>
      </c>
      <c r="H404" s="21"/>
    </row>
    <row r="405" spans="1:8" x14ac:dyDescent="0.25">
      <c r="A405" s="7" t="s">
        <v>160</v>
      </c>
      <c r="B405" s="8" t="s">
        <v>424</v>
      </c>
      <c r="C405" s="8" t="s">
        <v>0</v>
      </c>
      <c r="D405" s="8" t="s">
        <v>40</v>
      </c>
      <c r="E405" s="9">
        <v>11</v>
      </c>
      <c r="F405" s="9">
        <v>0</v>
      </c>
      <c r="G405" s="9">
        <v>0</v>
      </c>
      <c r="H405" s="21"/>
    </row>
    <row r="406" spans="1:8" x14ac:dyDescent="0.25">
      <c r="A406" s="7" t="s">
        <v>164</v>
      </c>
      <c r="B406" s="8" t="s">
        <v>424</v>
      </c>
      <c r="C406" s="8" t="s">
        <v>0</v>
      </c>
      <c r="D406" s="8" t="s">
        <v>61</v>
      </c>
      <c r="E406" s="9">
        <v>8</v>
      </c>
      <c r="F406" s="9">
        <v>0</v>
      </c>
      <c r="G406" s="9">
        <v>0</v>
      </c>
      <c r="H406" s="21"/>
    </row>
    <row r="407" spans="1:8" ht="26.4" x14ac:dyDescent="0.25">
      <c r="A407" s="7" t="s">
        <v>158</v>
      </c>
      <c r="B407" s="8" t="s">
        <v>424</v>
      </c>
      <c r="C407" s="8" t="s">
        <v>3</v>
      </c>
      <c r="D407" s="8"/>
      <c r="E407" s="9">
        <f>E408</f>
        <v>8</v>
      </c>
      <c r="F407" s="9">
        <f t="shared" ref="F407:G407" si="215">F408</f>
        <v>0</v>
      </c>
      <c r="G407" s="9">
        <f t="shared" si="215"/>
        <v>0</v>
      </c>
      <c r="H407" s="21"/>
    </row>
    <row r="408" spans="1:8" x14ac:dyDescent="0.25">
      <c r="A408" s="7" t="s">
        <v>167</v>
      </c>
      <c r="B408" s="8" t="s">
        <v>424</v>
      </c>
      <c r="C408" s="8" t="s">
        <v>3</v>
      </c>
      <c r="D408" s="8" t="s">
        <v>73</v>
      </c>
      <c r="E408" s="9">
        <v>8</v>
      </c>
      <c r="F408" s="9">
        <v>0</v>
      </c>
      <c r="G408" s="9">
        <v>0</v>
      </c>
      <c r="H408" s="21"/>
    </row>
    <row r="409" spans="1:8" ht="26.4" x14ac:dyDescent="0.25">
      <c r="A409" s="7" t="s">
        <v>428</v>
      </c>
      <c r="B409" s="8" t="s">
        <v>426</v>
      </c>
      <c r="C409" s="8"/>
      <c r="D409" s="8"/>
      <c r="E409" s="9">
        <f>E410+E414</f>
        <v>263</v>
      </c>
      <c r="F409" s="9">
        <f t="shared" ref="F409:G409" si="216">F410+F414</f>
        <v>0</v>
      </c>
      <c r="G409" s="9">
        <f t="shared" si="216"/>
        <v>0</v>
      </c>
      <c r="H409" s="21"/>
    </row>
    <row r="410" spans="1:8" ht="26.4" x14ac:dyDescent="0.25">
      <c r="A410" s="7" t="s">
        <v>118</v>
      </c>
      <c r="B410" s="8" t="s">
        <v>426</v>
      </c>
      <c r="C410" s="8" t="s">
        <v>0</v>
      </c>
      <c r="D410" s="8"/>
      <c r="E410" s="9">
        <f>E411+E412+E413</f>
        <v>205</v>
      </c>
      <c r="F410" s="9">
        <f t="shared" ref="F410:G410" si="217">F411+F412+F413</f>
        <v>0</v>
      </c>
      <c r="G410" s="9">
        <f t="shared" si="217"/>
        <v>0</v>
      </c>
      <c r="H410" s="21"/>
    </row>
    <row r="411" spans="1:8" x14ac:dyDescent="0.25">
      <c r="A411" s="7" t="s">
        <v>167</v>
      </c>
      <c r="B411" s="8" t="s">
        <v>426</v>
      </c>
      <c r="C411" s="8" t="s">
        <v>0</v>
      </c>
      <c r="D411" s="8" t="s">
        <v>73</v>
      </c>
      <c r="E411" s="9">
        <v>50</v>
      </c>
      <c r="F411" s="9">
        <v>0</v>
      </c>
      <c r="G411" s="9">
        <v>0</v>
      </c>
      <c r="H411" s="21"/>
    </row>
    <row r="412" spans="1:8" ht="15" customHeight="1" x14ac:dyDescent="0.25">
      <c r="A412" s="7" t="s">
        <v>160</v>
      </c>
      <c r="B412" s="8" t="s">
        <v>426</v>
      </c>
      <c r="C412" s="8" t="s">
        <v>0</v>
      </c>
      <c r="D412" s="8" t="s">
        <v>40</v>
      </c>
      <c r="E412" s="9">
        <v>85</v>
      </c>
      <c r="F412" s="9">
        <v>0</v>
      </c>
      <c r="G412" s="9">
        <v>0</v>
      </c>
      <c r="H412" s="21"/>
    </row>
    <row r="413" spans="1:8" ht="15" customHeight="1" x14ac:dyDescent="0.25">
      <c r="A413" s="7" t="s">
        <v>166</v>
      </c>
      <c r="B413" s="8" t="s">
        <v>426</v>
      </c>
      <c r="C413" s="8" t="s">
        <v>0</v>
      </c>
      <c r="D413" s="8" t="s">
        <v>70</v>
      </c>
      <c r="E413" s="9">
        <v>70</v>
      </c>
      <c r="F413" s="9">
        <v>0</v>
      </c>
      <c r="G413" s="9">
        <v>0</v>
      </c>
      <c r="H413" s="21"/>
    </row>
    <row r="414" spans="1:8" ht="29.4" customHeight="1" x14ac:dyDescent="0.25">
      <c r="A414" s="7" t="s">
        <v>158</v>
      </c>
      <c r="B414" s="8" t="s">
        <v>426</v>
      </c>
      <c r="C414" s="8" t="s">
        <v>3</v>
      </c>
      <c r="D414" s="8"/>
      <c r="E414" s="9">
        <f>E415</f>
        <v>58</v>
      </c>
      <c r="F414" s="9">
        <f t="shared" ref="F414:G414" si="218">F415</f>
        <v>0</v>
      </c>
      <c r="G414" s="9">
        <f t="shared" si="218"/>
        <v>0</v>
      </c>
      <c r="H414" s="21"/>
    </row>
    <row r="415" spans="1:8" ht="16.95" customHeight="1" x14ac:dyDescent="0.25">
      <c r="A415" s="7" t="s">
        <v>167</v>
      </c>
      <c r="B415" s="8" t="s">
        <v>426</v>
      </c>
      <c r="C415" s="8" t="s">
        <v>3</v>
      </c>
      <c r="D415" s="8" t="s">
        <v>73</v>
      </c>
      <c r="E415" s="9">
        <v>58</v>
      </c>
      <c r="F415" s="9">
        <v>0</v>
      </c>
      <c r="G415" s="9">
        <v>0</v>
      </c>
      <c r="H415" s="21"/>
    </row>
    <row r="416" spans="1:8" ht="27" customHeight="1" x14ac:dyDescent="0.25">
      <c r="A416" s="7" t="s">
        <v>429</v>
      </c>
      <c r="B416" s="8" t="s">
        <v>427</v>
      </c>
      <c r="C416" s="8"/>
      <c r="D416" s="8"/>
      <c r="E416" s="9">
        <f>E417</f>
        <v>100</v>
      </c>
      <c r="F416" s="9">
        <f t="shared" ref="F416:G417" si="219">F417</f>
        <v>0</v>
      </c>
      <c r="G416" s="9">
        <f t="shared" si="219"/>
        <v>0</v>
      </c>
      <c r="H416" s="21"/>
    </row>
    <row r="417" spans="1:8" ht="26.4" x14ac:dyDescent="0.25">
      <c r="A417" s="7" t="s">
        <v>118</v>
      </c>
      <c r="B417" s="8" t="s">
        <v>427</v>
      </c>
      <c r="C417" s="8" t="s">
        <v>0</v>
      </c>
      <c r="D417" s="8"/>
      <c r="E417" s="9">
        <f>E418</f>
        <v>100</v>
      </c>
      <c r="F417" s="9">
        <f t="shared" si="219"/>
        <v>0</v>
      </c>
      <c r="G417" s="9">
        <f t="shared" si="219"/>
        <v>0</v>
      </c>
      <c r="H417" s="21"/>
    </row>
    <row r="418" spans="1:8" ht="15" customHeight="1" x14ac:dyDescent="0.25">
      <c r="A418" s="7" t="s">
        <v>166</v>
      </c>
      <c r="B418" s="8" t="s">
        <v>427</v>
      </c>
      <c r="C418" s="8" t="s">
        <v>0</v>
      </c>
      <c r="D418" s="8" t="s">
        <v>70</v>
      </c>
      <c r="E418" s="9">
        <v>100</v>
      </c>
      <c r="F418" s="9">
        <v>0</v>
      </c>
      <c r="G418" s="9">
        <v>0</v>
      </c>
      <c r="H418" s="21"/>
    </row>
    <row r="419" spans="1:8" ht="15" customHeight="1" x14ac:dyDescent="0.25">
      <c r="A419" s="7" t="s">
        <v>434</v>
      </c>
      <c r="B419" s="8" t="s">
        <v>435</v>
      </c>
      <c r="C419" s="8"/>
      <c r="D419" s="8"/>
      <c r="E419" s="9">
        <f>E420</f>
        <v>5227.2</v>
      </c>
      <c r="F419" s="9">
        <f t="shared" ref="F419:G419" si="220">F420</f>
        <v>1800</v>
      </c>
      <c r="G419" s="9">
        <f t="shared" si="220"/>
        <v>0</v>
      </c>
      <c r="H419" s="21"/>
    </row>
    <row r="420" spans="1:8" ht="40.200000000000003" customHeight="1" x14ac:dyDescent="0.25">
      <c r="A420" s="7" t="s">
        <v>283</v>
      </c>
      <c r="B420" s="8" t="s">
        <v>281</v>
      </c>
      <c r="C420" s="8"/>
      <c r="D420" s="8"/>
      <c r="E420" s="9">
        <f>E421</f>
        <v>5227.2</v>
      </c>
      <c r="F420" s="9">
        <f t="shared" ref="F420:G420" si="221">F421</f>
        <v>1800</v>
      </c>
      <c r="G420" s="9">
        <f t="shared" si="221"/>
        <v>0</v>
      </c>
      <c r="H420" s="21"/>
    </row>
    <row r="421" spans="1:8" ht="15" customHeight="1" x14ac:dyDescent="0.25">
      <c r="A421" s="7" t="s">
        <v>310</v>
      </c>
      <c r="B421" s="8" t="s">
        <v>282</v>
      </c>
      <c r="C421" s="8"/>
      <c r="D421" s="8"/>
      <c r="E421" s="9">
        <f>E422</f>
        <v>5227.2</v>
      </c>
      <c r="F421" s="9">
        <f t="shared" ref="F421:G421" si="222">F422</f>
        <v>1800</v>
      </c>
      <c r="G421" s="9">
        <f t="shared" si="222"/>
        <v>0</v>
      </c>
      <c r="H421" s="21"/>
    </row>
    <row r="422" spans="1:8" ht="15" customHeight="1" x14ac:dyDescent="0.25">
      <c r="A422" s="7" t="s">
        <v>119</v>
      </c>
      <c r="B422" s="8" t="s">
        <v>282</v>
      </c>
      <c r="C422" s="8" t="s">
        <v>2</v>
      </c>
      <c r="D422" s="8"/>
      <c r="E422" s="9">
        <f>E423</f>
        <v>5227.2</v>
      </c>
      <c r="F422" s="9">
        <f t="shared" ref="F422:G422" si="223">F423</f>
        <v>1800</v>
      </c>
      <c r="G422" s="9">
        <f t="shared" si="223"/>
        <v>0</v>
      </c>
      <c r="H422" s="21"/>
    </row>
    <row r="423" spans="1:8" ht="15" customHeight="1" x14ac:dyDescent="0.25">
      <c r="A423" s="7" t="s">
        <v>244</v>
      </c>
      <c r="B423" s="8" t="s">
        <v>282</v>
      </c>
      <c r="C423" s="8" t="s">
        <v>2</v>
      </c>
      <c r="D423" s="8" t="s">
        <v>51</v>
      </c>
      <c r="E423" s="9">
        <f>5227.2</f>
        <v>5227.2</v>
      </c>
      <c r="F423" s="9">
        <f>0+1800</f>
        <v>1800</v>
      </c>
      <c r="G423" s="9">
        <f>0</f>
        <v>0</v>
      </c>
      <c r="H423" s="21"/>
    </row>
    <row r="424" spans="1:8" ht="28.95" customHeight="1" x14ac:dyDescent="0.25">
      <c r="A424" s="7" t="s">
        <v>287</v>
      </c>
      <c r="B424" s="8" t="s">
        <v>88</v>
      </c>
      <c r="C424" s="8"/>
      <c r="D424" s="8"/>
      <c r="E424" s="9">
        <f>E425</f>
        <v>1186938.8999999999</v>
      </c>
      <c r="F424" s="9">
        <f t="shared" ref="F424:G424" si="224">F425</f>
        <v>0</v>
      </c>
      <c r="G424" s="9">
        <f t="shared" si="224"/>
        <v>0</v>
      </c>
      <c r="H424" s="21"/>
    </row>
    <row r="425" spans="1:8" ht="26.4" x14ac:dyDescent="0.25">
      <c r="A425" s="31" t="s">
        <v>309</v>
      </c>
      <c r="B425" s="8" t="s">
        <v>89</v>
      </c>
      <c r="C425" s="8"/>
      <c r="D425" s="8"/>
      <c r="E425" s="9">
        <f>E426+E429+E432</f>
        <v>1186938.8999999999</v>
      </c>
      <c r="F425" s="9">
        <f>F426+F429+F432</f>
        <v>0</v>
      </c>
      <c r="G425" s="9">
        <f>G426+G429+G432</f>
        <v>0</v>
      </c>
      <c r="H425" s="21"/>
    </row>
    <row r="426" spans="1:8" ht="15.6" customHeight="1" x14ac:dyDescent="0.25">
      <c r="A426" s="7" t="s">
        <v>390</v>
      </c>
      <c r="B426" s="8" t="s">
        <v>90</v>
      </c>
      <c r="C426" s="8"/>
      <c r="D426" s="8"/>
      <c r="E426" s="9">
        <f>E427</f>
        <v>1137726</v>
      </c>
      <c r="F426" s="9">
        <f t="shared" ref="F426:G426" si="225">F427</f>
        <v>0</v>
      </c>
      <c r="G426" s="9">
        <f t="shared" si="225"/>
        <v>0</v>
      </c>
      <c r="H426" s="21"/>
    </row>
    <row r="427" spans="1:8" ht="26.4" x14ac:dyDescent="0.25">
      <c r="A427" s="7" t="s">
        <v>157</v>
      </c>
      <c r="B427" s="8" t="s">
        <v>90</v>
      </c>
      <c r="C427" s="8" t="s">
        <v>8</v>
      </c>
      <c r="D427" s="8"/>
      <c r="E427" s="9">
        <f>E428</f>
        <v>1137726</v>
      </c>
      <c r="F427" s="9">
        <f t="shared" ref="F427:G427" si="226">F428</f>
        <v>0</v>
      </c>
      <c r="G427" s="9">
        <f t="shared" si="226"/>
        <v>0</v>
      </c>
      <c r="H427" s="21"/>
    </row>
    <row r="428" spans="1:8" ht="13.5" customHeight="1" x14ac:dyDescent="0.25">
      <c r="A428" s="7" t="s">
        <v>168</v>
      </c>
      <c r="B428" s="8" t="s">
        <v>90</v>
      </c>
      <c r="C428" s="8" t="s">
        <v>8</v>
      </c>
      <c r="D428" s="8" t="s">
        <v>91</v>
      </c>
      <c r="E428" s="9">
        <f>1137726</f>
        <v>1137726</v>
      </c>
      <c r="F428" s="9">
        <f>0</f>
        <v>0</v>
      </c>
      <c r="G428" s="9">
        <v>0</v>
      </c>
      <c r="H428" s="21"/>
    </row>
    <row r="429" spans="1:8" ht="105.6" x14ac:dyDescent="0.25">
      <c r="A429" s="31" t="s">
        <v>143</v>
      </c>
      <c r="B429" s="8" t="s">
        <v>144</v>
      </c>
      <c r="C429" s="8"/>
      <c r="D429" s="8"/>
      <c r="E429" s="9">
        <f>E430</f>
        <v>44035.7</v>
      </c>
      <c r="F429" s="9">
        <f t="shared" ref="F429:G429" si="227">F430</f>
        <v>0</v>
      </c>
      <c r="G429" s="9">
        <f t="shared" si="227"/>
        <v>0</v>
      </c>
      <c r="H429" s="21"/>
    </row>
    <row r="430" spans="1:8" ht="26.4" x14ac:dyDescent="0.25">
      <c r="A430" s="7" t="s">
        <v>157</v>
      </c>
      <c r="B430" s="8" t="s">
        <v>144</v>
      </c>
      <c r="C430" s="8" t="s">
        <v>8</v>
      </c>
      <c r="D430" s="8"/>
      <c r="E430" s="9">
        <f>E431</f>
        <v>44035.7</v>
      </c>
      <c r="F430" s="9">
        <f t="shared" ref="F430:G430" si="228">F431</f>
        <v>0</v>
      </c>
      <c r="G430" s="9">
        <f t="shared" si="228"/>
        <v>0</v>
      </c>
      <c r="H430" s="21"/>
    </row>
    <row r="431" spans="1:8" x14ac:dyDescent="0.25">
      <c r="A431" s="7" t="s">
        <v>168</v>
      </c>
      <c r="B431" s="8" t="s">
        <v>144</v>
      </c>
      <c r="C431" s="8" t="s">
        <v>8</v>
      </c>
      <c r="D431" s="8" t="s">
        <v>91</v>
      </c>
      <c r="E431" s="9">
        <v>44035.7</v>
      </c>
      <c r="F431" s="9">
        <f>0</f>
        <v>0</v>
      </c>
      <c r="G431" s="9">
        <v>0</v>
      </c>
      <c r="H431" s="21"/>
    </row>
    <row r="432" spans="1:8" ht="66" x14ac:dyDescent="0.25">
      <c r="A432" s="7" t="s">
        <v>308</v>
      </c>
      <c r="B432" s="8" t="s">
        <v>92</v>
      </c>
      <c r="C432" s="8"/>
      <c r="D432" s="8"/>
      <c r="E432" s="9">
        <f>E433+E435</f>
        <v>5177.2</v>
      </c>
      <c r="F432" s="9">
        <f t="shared" ref="F432:G432" si="229">F433+F435</f>
        <v>0</v>
      </c>
      <c r="G432" s="9">
        <f t="shared" si="229"/>
        <v>0</v>
      </c>
      <c r="H432" s="21"/>
    </row>
    <row r="433" spans="1:8" ht="26.4" x14ac:dyDescent="0.25">
      <c r="A433" s="7" t="s">
        <v>118</v>
      </c>
      <c r="B433" s="8" t="s">
        <v>92</v>
      </c>
      <c r="C433" s="8" t="s">
        <v>0</v>
      </c>
      <c r="D433" s="8"/>
      <c r="E433" s="9">
        <f>E434</f>
        <v>200</v>
      </c>
      <c r="F433" s="9">
        <f t="shared" ref="F433:G433" si="230">F434</f>
        <v>0</v>
      </c>
      <c r="G433" s="9">
        <f t="shared" si="230"/>
        <v>0</v>
      </c>
      <c r="H433" s="21"/>
    </row>
    <row r="434" spans="1:8" x14ac:dyDescent="0.25">
      <c r="A434" s="7" t="s">
        <v>168</v>
      </c>
      <c r="B434" s="8" t="s">
        <v>92</v>
      </c>
      <c r="C434" s="8" t="s">
        <v>0</v>
      </c>
      <c r="D434" s="8" t="s">
        <v>91</v>
      </c>
      <c r="E434" s="9">
        <f>200</f>
        <v>200</v>
      </c>
      <c r="F434" s="9">
        <f>0</f>
        <v>0</v>
      </c>
      <c r="G434" s="9">
        <f>0</f>
        <v>0</v>
      </c>
      <c r="H434" s="21"/>
    </row>
    <row r="435" spans="1:8" ht="26.4" x14ac:dyDescent="0.25">
      <c r="A435" s="7" t="s">
        <v>157</v>
      </c>
      <c r="B435" s="8" t="s">
        <v>92</v>
      </c>
      <c r="C435" s="8" t="s">
        <v>8</v>
      </c>
      <c r="D435" s="8"/>
      <c r="E435" s="9">
        <f>E436</f>
        <v>4977.2</v>
      </c>
      <c r="F435" s="9">
        <f t="shared" ref="F435:G435" si="231">F436</f>
        <v>0</v>
      </c>
      <c r="G435" s="9">
        <f t="shared" si="231"/>
        <v>0</v>
      </c>
      <c r="H435" s="21"/>
    </row>
    <row r="436" spans="1:8" x14ac:dyDescent="0.25">
      <c r="A436" s="7" t="s">
        <v>168</v>
      </c>
      <c r="B436" s="8" t="s">
        <v>92</v>
      </c>
      <c r="C436" s="8" t="s">
        <v>8</v>
      </c>
      <c r="D436" s="8" t="s">
        <v>91</v>
      </c>
      <c r="E436" s="9">
        <f>4977.2</f>
        <v>4977.2</v>
      </c>
      <c r="F436" s="9">
        <v>0</v>
      </c>
      <c r="G436" s="9">
        <f>0</f>
        <v>0</v>
      </c>
      <c r="H436" s="21"/>
    </row>
    <row r="437" spans="1:8" ht="26.4" x14ac:dyDescent="0.25">
      <c r="A437" s="7" t="s">
        <v>431</v>
      </c>
      <c r="B437" s="8" t="s">
        <v>430</v>
      </c>
      <c r="C437" s="8"/>
      <c r="D437" s="8"/>
      <c r="E437" s="9">
        <f>E438+E445</f>
        <v>5005.6000000000004</v>
      </c>
      <c r="F437" s="9">
        <f t="shared" ref="F437:G437" si="232">F438+F445</f>
        <v>0</v>
      </c>
      <c r="G437" s="9">
        <f t="shared" si="232"/>
        <v>0</v>
      </c>
    </row>
    <row r="438" spans="1:8" ht="38.25" customHeight="1" x14ac:dyDescent="0.25">
      <c r="A438" s="7" t="s">
        <v>520</v>
      </c>
      <c r="B438" s="8" t="s">
        <v>519</v>
      </c>
      <c r="C438" s="8"/>
      <c r="D438" s="8"/>
      <c r="E438" s="9">
        <f>E439+E443</f>
        <v>2000</v>
      </c>
      <c r="F438" s="9">
        <f t="shared" ref="F438:G438" si="233">F439+F443</f>
        <v>0</v>
      </c>
      <c r="G438" s="9">
        <f t="shared" si="233"/>
        <v>0</v>
      </c>
    </row>
    <row r="439" spans="1:8" ht="26.4" x14ac:dyDescent="0.25">
      <c r="A439" s="7" t="s">
        <v>118</v>
      </c>
      <c r="B439" s="8" t="s">
        <v>519</v>
      </c>
      <c r="C439" s="8" t="s">
        <v>0</v>
      </c>
      <c r="D439" s="8"/>
      <c r="E439" s="9">
        <f>E440+E441+E442</f>
        <v>1600</v>
      </c>
      <c r="F439" s="9">
        <f t="shared" ref="F439:G439" si="234">F440+F441+F442</f>
        <v>0</v>
      </c>
      <c r="G439" s="9">
        <f t="shared" si="234"/>
        <v>0</v>
      </c>
    </row>
    <row r="440" spans="1:8" ht="13.2" customHeight="1" x14ac:dyDescent="0.25">
      <c r="A440" s="7" t="s">
        <v>155</v>
      </c>
      <c r="B440" s="8" t="s">
        <v>519</v>
      </c>
      <c r="C440" s="8" t="s">
        <v>0</v>
      </c>
      <c r="D440" s="8" t="s">
        <v>37</v>
      </c>
      <c r="E440" s="9">
        <f>800</f>
        <v>800</v>
      </c>
      <c r="F440" s="9">
        <f>0</f>
        <v>0</v>
      </c>
      <c r="G440" s="9">
        <f>0</f>
        <v>0</v>
      </c>
    </row>
    <row r="441" spans="1:8" ht="13.2" customHeight="1" x14ac:dyDescent="0.25">
      <c r="A441" s="7" t="s">
        <v>156</v>
      </c>
      <c r="B441" s="8" t="s">
        <v>519</v>
      </c>
      <c r="C441" s="8" t="s">
        <v>0</v>
      </c>
      <c r="D441" s="8" t="s">
        <v>35</v>
      </c>
      <c r="E441" s="9">
        <f>600</f>
        <v>600</v>
      </c>
      <c r="F441" s="9">
        <f>0</f>
        <v>0</v>
      </c>
      <c r="G441" s="9">
        <f>0</f>
        <v>0</v>
      </c>
    </row>
    <row r="442" spans="1:8" x14ac:dyDescent="0.25">
      <c r="A442" s="7" t="s">
        <v>160</v>
      </c>
      <c r="B442" s="8" t="s">
        <v>519</v>
      </c>
      <c r="C442" s="8" t="s">
        <v>0</v>
      </c>
      <c r="D442" s="8" t="s">
        <v>40</v>
      </c>
      <c r="E442" s="9">
        <f>200</f>
        <v>200</v>
      </c>
      <c r="F442" s="9">
        <f>0</f>
        <v>0</v>
      </c>
      <c r="G442" s="9">
        <f>0</f>
        <v>0</v>
      </c>
    </row>
    <row r="443" spans="1:8" ht="26.4" x14ac:dyDescent="0.25">
      <c r="A443" s="7" t="s">
        <v>158</v>
      </c>
      <c r="B443" s="8" t="s">
        <v>519</v>
      </c>
      <c r="C443" s="8" t="s">
        <v>3</v>
      </c>
      <c r="D443" s="8"/>
      <c r="E443" s="9">
        <f>E444</f>
        <v>400</v>
      </c>
      <c r="F443" s="9">
        <f t="shared" ref="F443:G443" si="235">F444</f>
        <v>0</v>
      </c>
      <c r="G443" s="9">
        <f t="shared" si="235"/>
        <v>0</v>
      </c>
    </row>
    <row r="444" spans="1:8" x14ac:dyDescent="0.25">
      <c r="A444" s="7" t="s">
        <v>159</v>
      </c>
      <c r="B444" s="8" t="s">
        <v>519</v>
      </c>
      <c r="C444" s="8" t="s">
        <v>3</v>
      </c>
      <c r="D444" s="8" t="s">
        <v>38</v>
      </c>
      <c r="E444" s="9">
        <f>400</f>
        <v>400</v>
      </c>
      <c r="F444" s="9">
        <f>0</f>
        <v>0</v>
      </c>
      <c r="G444" s="9">
        <f>0</f>
        <v>0</v>
      </c>
    </row>
    <row r="445" spans="1:8" ht="27" customHeight="1" x14ac:dyDescent="0.25">
      <c r="A445" s="7" t="s">
        <v>432</v>
      </c>
      <c r="B445" s="8" t="s">
        <v>433</v>
      </c>
      <c r="C445" s="8"/>
      <c r="D445" s="8"/>
      <c r="E445" s="9">
        <f>E446</f>
        <v>3005.6</v>
      </c>
      <c r="F445" s="9">
        <f t="shared" ref="F445:G445" si="236">F446</f>
        <v>0</v>
      </c>
      <c r="G445" s="9">
        <f t="shared" si="236"/>
        <v>0</v>
      </c>
      <c r="H445" s="21"/>
    </row>
    <row r="446" spans="1:8" ht="27.75" customHeight="1" x14ac:dyDescent="0.25">
      <c r="A446" s="7" t="s">
        <v>522</v>
      </c>
      <c r="B446" s="8" t="s">
        <v>521</v>
      </c>
      <c r="C446" s="8"/>
      <c r="D446" s="8"/>
      <c r="E446" s="9">
        <f>E447</f>
        <v>3005.6</v>
      </c>
      <c r="F446" s="9">
        <f t="shared" ref="F446:G446" si="237">F447</f>
        <v>0</v>
      </c>
      <c r="G446" s="9">
        <f t="shared" si="237"/>
        <v>0</v>
      </c>
      <c r="H446" s="21"/>
    </row>
    <row r="447" spans="1:8" ht="26.4" x14ac:dyDescent="0.25">
      <c r="A447" s="7" t="s">
        <v>118</v>
      </c>
      <c r="B447" s="8" t="s">
        <v>521</v>
      </c>
      <c r="C447" s="8" t="s">
        <v>0</v>
      </c>
      <c r="D447" s="8"/>
      <c r="E447" s="9">
        <f>E448</f>
        <v>3005.6</v>
      </c>
      <c r="F447" s="9">
        <f t="shared" ref="F447:G447" si="238">F448</f>
        <v>0</v>
      </c>
      <c r="G447" s="9">
        <f t="shared" si="238"/>
        <v>0</v>
      </c>
      <c r="H447" s="21"/>
    </row>
    <row r="448" spans="1:8" x14ac:dyDescent="0.25">
      <c r="A448" s="7" t="s">
        <v>172</v>
      </c>
      <c r="B448" s="8" t="s">
        <v>521</v>
      </c>
      <c r="C448" s="8" t="s">
        <v>0</v>
      </c>
      <c r="D448" s="8" t="s">
        <v>99</v>
      </c>
      <c r="E448" s="9">
        <f>3005.6</f>
        <v>3005.6</v>
      </c>
      <c r="F448" s="9">
        <v>0</v>
      </c>
      <c r="G448" s="9">
        <v>0</v>
      </c>
      <c r="H448" s="21"/>
    </row>
    <row r="449" spans="1:8" ht="26.4" x14ac:dyDescent="0.25">
      <c r="A449" s="7" t="s">
        <v>14</v>
      </c>
      <c r="B449" s="8" t="s">
        <v>94</v>
      </c>
      <c r="C449" s="8"/>
      <c r="D449" s="8"/>
      <c r="E449" s="9">
        <f>E450+E456</f>
        <v>417667.2</v>
      </c>
      <c r="F449" s="9">
        <f>F450+F456</f>
        <v>281013.90000000002</v>
      </c>
      <c r="G449" s="9">
        <f>G450+G456</f>
        <v>161290.5</v>
      </c>
      <c r="H449" s="21"/>
    </row>
    <row r="450" spans="1:8" ht="108.6" customHeight="1" x14ac:dyDescent="0.25">
      <c r="A450" s="31" t="s">
        <v>331</v>
      </c>
      <c r="B450" s="8" t="s">
        <v>145</v>
      </c>
      <c r="C450" s="8"/>
      <c r="D450" s="8"/>
      <c r="E450" s="9">
        <f>E453+E451</f>
        <v>328147.20000000001</v>
      </c>
      <c r="F450" s="9">
        <f t="shared" ref="F450:G450" si="239">F453+F451</f>
        <v>221013.9</v>
      </c>
      <c r="G450" s="9">
        <f t="shared" si="239"/>
        <v>161290.5</v>
      </c>
      <c r="H450" s="21"/>
    </row>
    <row r="451" spans="1:8" ht="28.2" customHeight="1" x14ac:dyDescent="0.25">
      <c r="A451" s="7" t="s">
        <v>118</v>
      </c>
      <c r="B451" s="8" t="s">
        <v>145</v>
      </c>
      <c r="C451" s="8" t="s">
        <v>0</v>
      </c>
      <c r="D451" s="8"/>
      <c r="E451" s="9">
        <f>E452</f>
        <v>1050.3</v>
      </c>
      <c r="F451" s="9">
        <f t="shared" ref="F451:G451" si="240">F452</f>
        <v>5960.1</v>
      </c>
      <c r="G451" s="9">
        <f t="shared" si="240"/>
        <v>0</v>
      </c>
      <c r="H451" s="21"/>
    </row>
    <row r="452" spans="1:8" ht="16.2" customHeight="1" x14ac:dyDescent="0.25">
      <c r="A452" s="31" t="s">
        <v>169</v>
      </c>
      <c r="B452" s="8" t="s">
        <v>145</v>
      </c>
      <c r="C452" s="8" t="s">
        <v>0</v>
      </c>
      <c r="D452" s="8" t="s">
        <v>87</v>
      </c>
      <c r="E452" s="9">
        <f>1050.3</f>
        <v>1050.3</v>
      </c>
      <c r="F452" s="9">
        <f>5960.1</f>
        <v>5960.1</v>
      </c>
      <c r="G452" s="9">
        <v>0</v>
      </c>
      <c r="H452" s="21"/>
    </row>
    <row r="453" spans="1:8" ht="26.4" x14ac:dyDescent="0.25">
      <c r="A453" s="31" t="s">
        <v>311</v>
      </c>
      <c r="B453" s="8" t="s">
        <v>286</v>
      </c>
      <c r="C453" s="8"/>
      <c r="D453" s="8"/>
      <c r="E453" s="30">
        <f>E454</f>
        <v>327096.90000000002</v>
      </c>
      <c r="F453" s="9">
        <f t="shared" ref="F453:G453" si="241">F454</f>
        <v>215053.8</v>
      </c>
      <c r="G453" s="9">
        <f t="shared" si="241"/>
        <v>161290.5</v>
      </c>
      <c r="H453" s="21"/>
    </row>
    <row r="454" spans="1:8" ht="26.4" x14ac:dyDescent="0.25">
      <c r="A454" s="7" t="s">
        <v>118</v>
      </c>
      <c r="B454" s="8" t="s">
        <v>286</v>
      </c>
      <c r="C454" s="8" t="s">
        <v>0</v>
      </c>
      <c r="D454" s="8"/>
      <c r="E454" s="30">
        <f>E455</f>
        <v>327096.90000000002</v>
      </c>
      <c r="F454" s="9">
        <f t="shared" ref="F454:G454" si="242">F455</f>
        <v>215053.8</v>
      </c>
      <c r="G454" s="9">
        <f t="shared" si="242"/>
        <v>161290.5</v>
      </c>
      <c r="H454" s="21"/>
    </row>
    <row r="455" spans="1:8" ht="13.95" customHeight="1" x14ac:dyDescent="0.25">
      <c r="A455" s="31" t="s">
        <v>169</v>
      </c>
      <c r="B455" s="8" t="s">
        <v>286</v>
      </c>
      <c r="C455" s="8" t="s">
        <v>0</v>
      </c>
      <c r="D455" s="8" t="s">
        <v>87</v>
      </c>
      <c r="E455" s="30">
        <f>327096.9</f>
        <v>327096.90000000002</v>
      </c>
      <c r="F455" s="9">
        <f>215053.8</f>
        <v>215053.8</v>
      </c>
      <c r="G455" s="9">
        <f>161290.5</f>
        <v>161290.5</v>
      </c>
      <c r="H455" s="21"/>
    </row>
    <row r="456" spans="1:8" ht="54" customHeight="1" x14ac:dyDescent="0.25">
      <c r="A456" s="7" t="s">
        <v>25</v>
      </c>
      <c r="B456" s="8" t="s">
        <v>95</v>
      </c>
      <c r="C456" s="8"/>
      <c r="D456" s="8"/>
      <c r="E456" s="9">
        <f>E457</f>
        <v>89520</v>
      </c>
      <c r="F456" s="9">
        <f t="shared" ref="F456:G456" si="243">F457</f>
        <v>60000</v>
      </c>
      <c r="G456" s="9">
        <f t="shared" si="243"/>
        <v>0</v>
      </c>
      <c r="H456" s="21"/>
    </row>
    <row r="457" spans="1:8" ht="26.4" x14ac:dyDescent="0.25">
      <c r="A457" s="7" t="s">
        <v>118</v>
      </c>
      <c r="B457" s="8" t="s">
        <v>95</v>
      </c>
      <c r="C457" s="8" t="s">
        <v>0</v>
      </c>
      <c r="D457" s="8"/>
      <c r="E457" s="9">
        <f>E458</f>
        <v>89520</v>
      </c>
      <c r="F457" s="9">
        <f>F458</f>
        <v>60000</v>
      </c>
      <c r="G457" s="9">
        <f>G458</f>
        <v>0</v>
      </c>
      <c r="H457" s="21"/>
    </row>
    <row r="458" spans="1:8" x14ac:dyDescent="0.25">
      <c r="A458" s="7" t="s">
        <v>170</v>
      </c>
      <c r="B458" s="8" t="s">
        <v>95</v>
      </c>
      <c r="C458" s="8" t="s">
        <v>0</v>
      </c>
      <c r="D458" s="8" t="s">
        <v>96</v>
      </c>
      <c r="E458" s="9">
        <f>89520</f>
        <v>89520</v>
      </c>
      <c r="F458" s="9">
        <f>60000</f>
        <v>60000</v>
      </c>
      <c r="G458" s="9">
        <f>0</f>
        <v>0</v>
      </c>
      <c r="H458" s="21"/>
    </row>
    <row r="459" spans="1:8" ht="26.4" x14ac:dyDescent="0.25">
      <c r="A459" s="7" t="s">
        <v>146</v>
      </c>
      <c r="B459" s="8" t="s">
        <v>147</v>
      </c>
      <c r="C459" s="8"/>
      <c r="D459" s="8"/>
      <c r="E459" s="9">
        <f>E460+E463</f>
        <v>300</v>
      </c>
      <c r="F459" s="9">
        <f t="shared" ref="F459:G459" si="244">F460+F463</f>
        <v>300</v>
      </c>
      <c r="G459" s="9">
        <f t="shared" si="244"/>
        <v>0</v>
      </c>
      <c r="H459" s="21"/>
    </row>
    <row r="460" spans="1:8" ht="26.4" x14ac:dyDescent="0.25">
      <c r="A460" s="7" t="s">
        <v>148</v>
      </c>
      <c r="B460" s="8" t="s">
        <v>149</v>
      </c>
      <c r="C460" s="8"/>
      <c r="D460" s="8"/>
      <c r="E460" s="9">
        <f>E461</f>
        <v>200</v>
      </c>
      <c r="F460" s="9">
        <f t="shared" ref="F460:G460" si="245">F461</f>
        <v>300</v>
      </c>
      <c r="G460" s="9">
        <f t="shared" si="245"/>
        <v>0</v>
      </c>
      <c r="H460" s="21"/>
    </row>
    <row r="461" spans="1:8" ht="26.4" x14ac:dyDescent="0.25">
      <c r="A461" s="7" t="s">
        <v>118</v>
      </c>
      <c r="B461" s="8" t="s">
        <v>149</v>
      </c>
      <c r="C461" s="8" t="s">
        <v>0</v>
      </c>
      <c r="D461" s="8"/>
      <c r="E461" s="9">
        <f>E462</f>
        <v>200</v>
      </c>
      <c r="F461" s="9">
        <f>F462</f>
        <v>300</v>
      </c>
      <c r="G461" s="9">
        <f>G462</f>
        <v>0</v>
      </c>
      <c r="H461" s="21"/>
    </row>
    <row r="462" spans="1:8" x14ac:dyDescent="0.25">
      <c r="A462" s="7" t="s">
        <v>150</v>
      </c>
      <c r="B462" s="8" t="s">
        <v>149</v>
      </c>
      <c r="C462" s="8" t="s">
        <v>0</v>
      </c>
      <c r="D462" s="8" t="s">
        <v>110</v>
      </c>
      <c r="E462" s="9">
        <f>200</f>
        <v>200</v>
      </c>
      <c r="F462" s="9">
        <f>300</f>
        <v>300</v>
      </c>
      <c r="G462" s="9">
        <f>0</f>
        <v>0</v>
      </c>
      <c r="H462" s="21"/>
    </row>
    <row r="463" spans="1:8" ht="45" customHeight="1" x14ac:dyDescent="0.25">
      <c r="A463" s="7" t="s">
        <v>479</v>
      </c>
      <c r="B463" s="8" t="s">
        <v>478</v>
      </c>
      <c r="C463" s="8"/>
      <c r="D463" s="8"/>
      <c r="E463" s="9">
        <f>E464</f>
        <v>100</v>
      </c>
      <c r="F463" s="9">
        <f t="shared" ref="F463:G463" si="246">F464</f>
        <v>0</v>
      </c>
      <c r="G463" s="9">
        <f t="shared" si="246"/>
        <v>0</v>
      </c>
      <c r="H463" s="21"/>
    </row>
    <row r="464" spans="1:8" ht="26.4" x14ac:dyDescent="0.25">
      <c r="A464" s="7" t="s">
        <v>118</v>
      </c>
      <c r="B464" s="8" t="s">
        <v>478</v>
      </c>
      <c r="C464" s="8" t="s">
        <v>0</v>
      </c>
      <c r="D464" s="8"/>
      <c r="E464" s="9">
        <f>E465</f>
        <v>100</v>
      </c>
      <c r="F464" s="9">
        <f>F465</f>
        <v>0</v>
      </c>
      <c r="G464" s="9">
        <f>G465</f>
        <v>0</v>
      </c>
      <c r="H464" s="21"/>
    </row>
    <row r="465" spans="1:8" x14ac:dyDescent="0.25">
      <c r="A465" s="7" t="s">
        <v>150</v>
      </c>
      <c r="B465" s="8" t="s">
        <v>478</v>
      </c>
      <c r="C465" s="8" t="s">
        <v>0</v>
      </c>
      <c r="D465" s="8" t="s">
        <v>110</v>
      </c>
      <c r="E465" s="9">
        <f>100</f>
        <v>100</v>
      </c>
      <c r="F465" s="9">
        <f>0</f>
        <v>0</v>
      </c>
      <c r="G465" s="9">
        <f>0</f>
        <v>0</v>
      </c>
      <c r="H465" s="21"/>
    </row>
    <row r="466" spans="1:8" ht="26.4" x14ac:dyDescent="0.25">
      <c r="A466" s="7" t="s">
        <v>175</v>
      </c>
      <c r="B466" s="8" t="s">
        <v>173</v>
      </c>
      <c r="C466" s="8"/>
      <c r="D466" s="8"/>
      <c r="E466" s="9">
        <f>E467+E470</f>
        <v>2778.7</v>
      </c>
      <c r="F466" s="9">
        <f t="shared" ref="F466:G466" si="247">F467+F470</f>
        <v>0</v>
      </c>
      <c r="G466" s="9">
        <f t="shared" si="247"/>
        <v>0</v>
      </c>
      <c r="H466" s="21"/>
    </row>
    <row r="467" spans="1:8" x14ac:dyDescent="0.25">
      <c r="A467" s="7" t="s">
        <v>323</v>
      </c>
      <c r="B467" s="8" t="s">
        <v>322</v>
      </c>
      <c r="C467" s="8"/>
      <c r="D467" s="8"/>
      <c r="E467" s="9">
        <f>E468</f>
        <v>30</v>
      </c>
      <c r="F467" s="9">
        <f t="shared" ref="F467:G467" si="248">F468</f>
        <v>0</v>
      </c>
      <c r="G467" s="9">
        <f t="shared" si="248"/>
        <v>0</v>
      </c>
      <c r="H467" s="21"/>
    </row>
    <row r="468" spans="1:8" ht="26.4" x14ac:dyDescent="0.25">
      <c r="A468" s="7" t="s">
        <v>118</v>
      </c>
      <c r="B468" s="8" t="s">
        <v>322</v>
      </c>
      <c r="C468" s="8" t="s">
        <v>0</v>
      </c>
      <c r="D468" s="8"/>
      <c r="E468" s="9">
        <f>E469</f>
        <v>30</v>
      </c>
      <c r="F468" s="9">
        <f t="shared" ref="F468:G468" si="249">F469</f>
        <v>0</v>
      </c>
      <c r="G468" s="9">
        <f t="shared" si="249"/>
        <v>0</v>
      </c>
      <c r="H468" s="21"/>
    </row>
    <row r="469" spans="1:8" ht="15" customHeight="1" x14ac:dyDescent="0.25">
      <c r="A469" s="7" t="s">
        <v>159</v>
      </c>
      <c r="B469" s="8" t="s">
        <v>322</v>
      </c>
      <c r="C469" s="8" t="s">
        <v>0</v>
      </c>
      <c r="D469" s="8" t="s">
        <v>38</v>
      </c>
      <c r="E469" s="9">
        <f>30</f>
        <v>30</v>
      </c>
      <c r="F469" s="9">
        <f>0</f>
        <v>0</v>
      </c>
      <c r="G469" s="9">
        <f>0</f>
        <v>0</v>
      </c>
      <c r="H469" s="21"/>
    </row>
    <row r="470" spans="1:8" ht="26.4" x14ac:dyDescent="0.25">
      <c r="A470" s="7" t="s">
        <v>176</v>
      </c>
      <c r="B470" s="8" t="s">
        <v>174</v>
      </c>
      <c r="C470" s="8"/>
      <c r="D470" s="8"/>
      <c r="E470" s="9">
        <f>E471</f>
        <v>2748.7</v>
      </c>
      <c r="F470" s="9">
        <f t="shared" ref="F470:G470" si="250">F471</f>
        <v>0</v>
      </c>
      <c r="G470" s="9">
        <f t="shared" si="250"/>
        <v>0</v>
      </c>
      <c r="H470" s="21"/>
    </row>
    <row r="471" spans="1:8" ht="26.4" x14ac:dyDescent="0.25">
      <c r="A471" s="7" t="s">
        <v>118</v>
      </c>
      <c r="B471" s="8" t="s">
        <v>174</v>
      </c>
      <c r="C471" s="8" t="s">
        <v>0</v>
      </c>
      <c r="D471" s="8"/>
      <c r="E471" s="9">
        <f>E472</f>
        <v>2748.7</v>
      </c>
      <c r="F471" s="9">
        <f t="shared" ref="F471:G471" si="251">F472</f>
        <v>0</v>
      </c>
      <c r="G471" s="9">
        <f t="shared" si="251"/>
        <v>0</v>
      </c>
      <c r="H471" s="21"/>
    </row>
    <row r="472" spans="1:8" x14ac:dyDescent="0.25">
      <c r="A472" s="31" t="s">
        <v>169</v>
      </c>
      <c r="B472" s="8" t="s">
        <v>174</v>
      </c>
      <c r="C472" s="8" t="s">
        <v>0</v>
      </c>
      <c r="D472" s="8" t="s">
        <v>87</v>
      </c>
      <c r="E472" s="9">
        <f>2748.7</f>
        <v>2748.7</v>
      </c>
      <c r="F472" s="9">
        <f>0</f>
        <v>0</v>
      </c>
      <c r="G472" s="9">
        <f>0</f>
        <v>0</v>
      </c>
      <c r="H472" s="21"/>
    </row>
    <row r="473" spans="1:8" ht="26.4" x14ac:dyDescent="0.25">
      <c r="A473" s="7" t="s">
        <v>285</v>
      </c>
      <c r="B473" s="8" t="s">
        <v>98</v>
      </c>
      <c r="C473" s="8"/>
      <c r="D473" s="8"/>
      <c r="E473" s="9">
        <f>E474+E477</f>
        <v>126871.99999999999</v>
      </c>
      <c r="F473" s="9">
        <f t="shared" ref="F473:G473" si="252">F474+F477</f>
        <v>32079.300000000003</v>
      </c>
      <c r="G473" s="9">
        <f t="shared" si="252"/>
        <v>0</v>
      </c>
      <c r="H473" s="21"/>
    </row>
    <row r="474" spans="1:8" ht="27.75" customHeight="1" x14ac:dyDescent="0.25">
      <c r="A474" s="7" t="s">
        <v>481</v>
      </c>
      <c r="B474" s="8" t="s">
        <v>480</v>
      </c>
      <c r="C474" s="8"/>
      <c r="D474" s="8"/>
      <c r="E474" s="9">
        <f>E475</f>
        <v>47.7</v>
      </c>
      <c r="F474" s="9">
        <f t="shared" ref="F474:G474" si="253">F475</f>
        <v>0</v>
      </c>
      <c r="G474" s="9">
        <f t="shared" si="253"/>
        <v>0</v>
      </c>
      <c r="H474" s="21"/>
    </row>
    <row r="475" spans="1:8" ht="15.6" customHeight="1" x14ac:dyDescent="0.25">
      <c r="A475" s="7" t="s">
        <v>152</v>
      </c>
      <c r="B475" s="8" t="s">
        <v>480</v>
      </c>
      <c r="C475" s="8" t="s">
        <v>1</v>
      </c>
      <c r="D475" s="8"/>
      <c r="E475" s="9">
        <f>E476</f>
        <v>47.7</v>
      </c>
      <c r="F475" s="9">
        <f t="shared" ref="F475:G475" si="254">F476</f>
        <v>0</v>
      </c>
      <c r="G475" s="9">
        <f t="shared" si="254"/>
        <v>0</v>
      </c>
      <c r="H475" s="21"/>
    </row>
    <row r="476" spans="1:8" ht="15.6" customHeight="1" x14ac:dyDescent="0.25">
      <c r="A476" s="7" t="s">
        <v>172</v>
      </c>
      <c r="B476" s="8" t="s">
        <v>480</v>
      </c>
      <c r="C476" s="8" t="s">
        <v>1</v>
      </c>
      <c r="D476" s="8" t="s">
        <v>99</v>
      </c>
      <c r="E476" s="9">
        <f>47.7</f>
        <v>47.7</v>
      </c>
      <c r="F476" s="9">
        <f>0</f>
        <v>0</v>
      </c>
      <c r="G476" s="9">
        <f>0</f>
        <v>0</v>
      </c>
      <c r="H476" s="21"/>
    </row>
    <row r="477" spans="1:8" ht="26.4" x14ac:dyDescent="0.25">
      <c r="A477" s="7" t="s">
        <v>306</v>
      </c>
      <c r="B477" s="8" t="s">
        <v>305</v>
      </c>
      <c r="C477" s="8"/>
      <c r="D477" s="8"/>
      <c r="E477" s="9">
        <f>E478+E482+E480+E487</f>
        <v>126824.29999999999</v>
      </c>
      <c r="F477" s="9">
        <f t="shared" ref="F477:G477" si="255">F478+F482+F480+F487</f>
        <v>32079.300000000003</v>
      </c>
      <c r="G477" s="9">
        <f t="shared" si="255"/>
        <v>0</v>
      </c>
      <c r="H477" s="21"/>
    </row>
    <row r="478" spans="1:8" ht="26.4" x14ac:dyDescent="0.25">
      <c r="A478" s="7" t="s">
        <v>118</v>
      </c>
      <c r="B478" s="8" t="s">
        <v>305</v>
      </c>
      <c r="C478" s="8" t="s">
        <v>0</v>
      </c>
      <c r="D478" s="8"/>
      <c r="E478" s="9">
        <f>E479</f>
        <v>1395.5</v>
      </c>
      <c r="F478" s="9">
        <f t="shared" ref="F478:G478" si="256">F479</f>
        <v>10573.9</v>
      </c>
      <c r="G478" s="9">
        <f t="shared" si="256"/>
        <v>0</v>
      </c>
      <c r="H478" s="21"/>
    </row>
    <row r="479" spans="1:8" x14ac:dyDescent="0.25">
      <c r="A479" s="7" t="s">
        <v>172</v>
      </c>
      <c r="B479" s="8" t="s">
        <v>305</v>
      </c>
      <c r="C479" s="8" t="s">
        <v>0</v>
      </c>
      <c r="D479" s="8" t="s">
        <v>99</v>
      </c>
      <c r="E479" s="9">
        <f>1395.5</f>
        <v>1395.5</v>
      </c>
      <c r="F479" s="9">
        <f>10573.9</f>
        <v>10573.9</v>
      </c>
      <c r="G479" s="9"/>
      <c r="H479" s="21"/>
    </row>
    <row r="480" spans="1:8" ht="26.4" x14ac:dyDescent="0.25">
      <c r="A480" s="7" t="s">
        <v>157</v>
      </c>
      <c r="B480" s="8" t="s">
        <v>305</v>
      </c>
      <c r="C480" s="8" t="s">
        <v>8</v>
      </c>
      <c r="D480" s="8"/>
      <c r="E480" s="9">
        <f>E481</f>
        <v>3540</v>
      </c>
      <c r="F480" s="9">
        <f t="shared" ref="F480" si="257">F481</f>
        <v>0</v>
      </c>
      <c r="G480" s="9">
        <f>0</f>
        <v>0</v>
      </c>
      <c r="H480" s="21"/>
    </row>
    <row r="481" spans="1:8" x14ac:dyDescent="0.25">
      <c r="A481" s="7" t="s">
        <v>172</v>
      </c>
      <c r="B481" s="8" t="s">
        <v>305</v>
      </c>
      <c r="C481" s="8" t="s">
        <v>8</v>
      </c>
      <c r="D481" s="8" t="s">
        <v>99</v>
      </c>
      <c r="E481" s="9">
        <v>3540</v>
      </c>
      <c r="F481" s="9">
        <v>0</v>
      </c>
      <c r="G481" s="9">
        <v>0</v>
      </c>
      <c r="H481" s="21"/>
    </row>
    <row r="482" spans="1:8" ht="39.6" x14ac:dyDescent="0.25">
      <c r="A482" s="7" t="s">
        <v>325</v>
      </c>
      <c r="B482" s="8" t="s">
        <v>324</v>
      </c>
      <c r="C482" s="8"/>
      <c r="D482" s="8"/>
      <c r="E482" s="9">
        <f>E483</f>
        <v>90005.599999999991</v>
      </c>
      <c r="F482" s="9">
        <f t="shared" ref="F482:G482" si="258">F483</f>
        <v>21505.4</v>
      </c>
      <c r="G482" s="9">
        <f t="shared" si="258"/>
        <v>0</v>
      </c>
      <c r="H482" s="21"/>
    </row>
    <row r="483" spans="1:8" ht="26.4" x14ac:dyDescent="0.25">
      <c r="A483" s="7" t="s">
        <v>118</v>
      </c>
      <c r="B483" s="8" t="s">
        <v>324</v>
      </c>
      <c r="C483" s="8" t="s">
        <v>0</v>
      </c>
      <c r="D483" s="8"/>
      <c r="E483" s="9">
        <f>E484+E485</f>
        <v>90005.599999999991</v>
      </c>
      <c r="F483" s="9">
        <f t="shared" ref="F483:G483" si="259">F484</f>
        <v>21505.4</v>
      </c>
      <c r="G483" s="9">
        <f t="shared" si="259"/>
        <v>0</v>
      </c>
      <c r="H483" s="21"/>
    </row>
    <row r="484" spans="1:8" x14ac:dyDescent="0.25">
      <c r="A484" s="7" t="s">
        <v>172</v>
      </c>
      <c r="B484" s="8" t="s">
        <v>324</v>
      </c>
      <c r="C484" s="8" t="s">
        <v>0</v>
      </c>
      <c r="D484" s="8" t="s">
        <v>99</v>
      </c>
      <c r="E484" s="9">
        <f>75868.2</f>
        <v>75868.2</v>
      </c>
      <c r="F484" s="9">
        <f>21505.4</f>
        <v>21505.4</v>
      </c>
      <c r="G484" s="9">
        <f>0</f>
        <v>0</v>
      </c>
      <c r="H484" s="21"/>
    </row>
    <row r="485" spans="1:8" ht="26.4" x14ac:dyDescent="0.25">
      <c r="A485" s="7" t="s">
        <v>157</v>
      </c>
      <c r="B485" s="8" t="s">
        <v>324</v>
      </c>
      <c r="C485" s="8" t="s">
        <v>8</v>
      </c>
      <c r="D485" s="8"/>
      <c r="E485" s="9">
        <f>E486</f>
        <v>14137.4</v>
      </c>
      <c r="F485" s="9">
        <f t="shared" ref="F485:G485" si="260">F486</f>
        <v>0</v>
      </c>
      <c r="G485" s="9">
        <f t="shared" si="260"/>
        <v>0</v>
      </c>
      <c r="H485" s="21"/>
    </row>
    <row r="486" spans="1:8" x14ac:dyDescent="0.25">
      <c r="A486" s="7" t="s">
        <v>172</v>
      </c>
      <c r="B486" s="8" t="s">
        <v>324</v>
      </c>
      <c r="C486" s="8" t="s">
        <v>8</v>
      </c>
      <c r="D486" s="8" t="s">
        <v>99</v>
      </c>
      <c r="E486" s="9">
        <f>14137.4</f>
        <v>14137.4</v>
      </c>
      <c r="F486" s="9">
        <f>0</f>
        <v>0</v>
      </c>
      <c r="G486" s="9">
        <f>0</f>
        <v>0</v>
      </c>
      <c r="H486" s="21"/>
    </row>
    <row r="487" spans="1:8" ht="51" customHeight="1" x14ac:dyDescent="0.25">
      <c r="A487" s="7" t="s">
        <v>483</v>
      </c>
      <c r="B487" s="8" t="s">
        <v>482</v>
      </c>
      <c r="C487" s="8"/>
      <c r="D487" s="8"/>
      <c r="E487" s="9">
        <f>E488</f>
        <v>31883.200000000001</v>
      </c>
      <c r="F487" s="9">
        <f>F488</f>
        <v>0</v>
      </c>
      <c r="G487" s="9">
        <f>G488</f>
        <v>0</v>
      </c>
      <c r="H487" s="21"/>
    </row>
    <row r="488" spans="1:8" ht="26.4" x14ac:dyDescent="0.25">
      <c r="A488" s="7" t="s">
        <v>157</v>
      </c>
      <c r="B488" s="8" t="s">
        <v>482</v>
      </c>
      <c r="C488" s="8" t="s">
        <v>8</v>
      </c>
      <c r="D488" s="8"/>
      <c r="E488" s="9">
        <f>E489</f>
        <v>31883.200000000001</v>
      </c>
      <c r="F488" s="9">
        <f t="shared" ref="F488:G488" si="261">F489</f>
        <v>0</v>
      </c>
      <c r="G488" s="9">
        <f t="shared" si="261"/>
        <v>0</v>
      </c>
      <c r="H488" s="21"/>
    </row>
    <row r="489" spans="1:8" x14ac:dyDescent="0.25">
      <c r="A489" s="7" t="s">
        <v>172</v>
      </c>
      <c r="B489" s="8" t="s">
        <v>482</v>
      </c>
      <c r="C489" s="8" t="s">
        <v>8</v>
      </c>
      <c r="D489" s="8" t="s">
        <v>99</v>
      </c>
      <c r="E489" s="9">
        <f>31883.2</f>
        <v>31883.200000000001</v>
      </c>
      <c r="F489" s="9">
        <f>0</f>
        <v>0</v>
      </c>
      <c r="G489" s="9">
        <f>0</f>
        <v>0</v>
      </c>
      <c r="H489" s="21"/>
    </row>
    <row r="490" spans="1:8" ht="26.4" x14ac:dyDescent="0.25">
      <c r="A490" s="7" t="s">
        <v>100</v>
      </c>
      <c r="B490" s="8" t="s">
        <v>101</v>
      </c>
      <c r="C490" s="8"/>
      <c r="D490" s="8"/>
      <c r="E490" s="9">
        <f>E491+E503</f>
        <v>52042.9</v>
      </c>
      <c r="F490" s="9">
        <f t="shared" ref="F490:G490" si="262">F491+F503</f>
        <v>2475</v>
      </c>
      <c r="G490" s="9">
        <f t="shared" si="262"/>
        <v>0</v>
      </c>
      <c r="H490" s="21"/>
    </row>
    <row r="491" spans="1:8" x14ac:dyDescent="0.25">
      <c r="A491" s="7" t="s">
        <v>485</v>
      </c>
      <c r="B491" s="8" t="s">
        <v>484</v>
      </c>
      <c r="C491" s="8"/>
      <c r="D491" s="8"/>
      <c r="E491" s="9">
        <f>E492+E494+E497+E500</f>
        <v>6430.6</v>
      </c>
      <c r="F491" s="9">
        <f t="shared" ref="F491:G491" si="263">F492+F494+F497+F500</f>
        <v>0</v>
      </c>
      <c r="G491" s="9">
        <f t="shared" si="263"/>
        <v>0</v>
      </c>
      <c r="H491" s="21"/>
    </row>
    <row r="492" spans="1:8" ht="26.4" x14ac:dyDescent="0.25">
      <c r="A492" s="7" t="s">
        <v>118</v>
      </c>
      <c r="B492" s="8" t="s">
        <v>484</v>
      </c>
      <c r="C492" s="8" t="s">
        <v>0</v>
      </c>
      <c r="D492" s="8"/>
      <c r="E492" s="9">
        <f>E493</f>
        <v>1330.6</v>
      </c>
      <c r="F492" s="9">
        <f t="shared" ref="F492:G492" si="264">F493</f>
        <v>0</v>
      </c>
      <c r="G492" s="9">
        <f t="shared" si="264"/>
        <v>0</v>
      </c>
      <c r="H492" s="21"/>
    </row>
    <row r="493" spans="1:8" x14ac:dyDescent="0.25">
      <c r="A493" s="7" t="s">
        <v>170</v>
      </c>
      <c r="B493" s="8" t="s">
        <v>484</v>
      </c>
      <c r="C493" s="8" t="s">
        <v>0</v>
      </c>
      <c r="D493" s="8" t="s">
        <v>96</v>
      </c>
      <c r="E493" s="9">
        <f>1330.6</f>
        <v>1330.6</v>
      </c>
      <c r="F493" s="9">
        <f>0</f>
        <v>0</v>
      </c>
      <c r="G493" s="9">
        <f>0</f>
        <v>0</v>
      </c>
      <c r="H493" s="21"/>
    </row>
    <row r="494" spans="1:8" ht="28.5" customHeight="1" x14ac:dyDescent="0.25">
      <c r="A494" s="7" t="s">
        <v>487</v>
      </c>
      <c r="B494" s="8" t="s">
        <v>486</v>
      </c>
      <c r="C494" s="8"/>
      <c r="D494" s="8"/>
      <c r="E494" s="9">
        <f>E495</f>
        <v>1800</v>
      </c>
      <c r="F494" s="9">
        <f t="shared" ref="F494:G494" si="265">F495</f>
        <v>0</v>
      </c>
      <c r="G494" s="9">
        <f t="shared" si="265"/>
        <v>0</v>
      </c>
      <c r="H494" s="21"/>
    </row>
    <row r="495" spans="1:8" ht="25.2" customHeight="1" x14ac:dyDescent="0.25">
      <c r="A495" s="7" t="s">
        <v>118</v>
      </c>
      <c r="B495" s="8" t="s">
        <v>486</v>
      </c>
      <c r="C495" s="8" t="s">
        <v>0</v>
      </c>
      <c r="D495" s="8"/>
      <c r="E495" s="9">
        <f>E496</f>
        <v>1800</v>
      </c>
      <c r="F495" s="9">
        <f t="shared" ref="F495:G495" si="266">F496</f>
        <v>0</v>
      </c>
      <c r="G495" s="9">
        <f t="shared" si="266"/>
        <v>0</v>
      </c>
      <c r="H495" s="21"/>
    </row>
    <row r="496" spans="1:8" x14ac:dyDescent="0.25">
      <c r="A496" s="7" t="s">
        <v>170</v>
      </c>
      <c r="B496" s="8" t="s">
        <v>486</v>
      </c>
      <c r="C496" s="8" t="s">
        <v>0</v>
      </c>
      <c r="D496" s="8" t="s">
        <v>96</v>
      </c>
      <c r="E496" s="9">
        <f>1800</f>
        <v>1800</v>
      </c>
      <c r="F496" s="9">
        <f>0</f>
        <v>0</v>
      </c>
      <c r="G496" s="9">
        <f>0</f>
        <v>0</v>
      </c>
      <c r="H496" s="21"/>
    </row>
    <row r="497" spans="1:8" ht="25.5" customHeight="1" x14ac:dyDescent="0.25">
      <c r="A497" s="7" t="s">
        <v>489</v>
      </c>
      <c r="B497" s="8" t="s">
        <v>488</v>
      </c>
      <c r="C497" s="8"/>
      <c r="D497" s="8"/>
      <c r="E497" s="9">
        <f>E498</f>
        <v>2200</v>
      </c>
      <c r="F497" s="9">
        <f t="shared" ref="F497:G497" si="267">F498</f>
        <v>0</v>
      </c>
      <c r="G497" s="9">
        <f t="shared" si="267"/>
        <v>0</v>
      </c>
      <c r="H497" s="21"/>
    </row>
    <row r="498" spans="1:8" ht="26.4" x14ac:dyDescent="0.25">
      <c r="A498" s="7" t="s">
        <v>118</v>
      </c>
      <c r="B498" s="8" t="s">
        <v>488</v>
      </c>
      <c r="C498" s="8" t="s">
        <v>0</v>
      </c>
      <c r="D498" s="8"/>
      <c r="E498" s="9">
        <f>E499</f>
        <v>2200</v>
      </c>
      <c r="F498" s="9">
        <f t="shared" ref="F498:G498" si="268">F499</f>
        <v>0</v>
      </c>
      <c r="G498" s="9">
        <f t="shared" si="268"/>
        <v>0</v>
      </c>
      <c r="H498" s="21"/>
    </row>
    <row r="499" spans="1:8" x14ac:dyDescent="0.25">
      <c r="A499" s="7" t="s">
        <v>170</v>
      </c>
      <c r="B499" s="8" t="s">
        <v>488</v>
      </c>
      <c r="C499" s="8" t="s">
        <v>0</v>
      </c>
      <c r="D499" s="8" t="s">
        <v>96</v>
      </c>
      <c r="E499" s="9">
        <f>2200</f>
        <v>2200</v>
      </c>
      <c r="F499" s="9">
        <f>0</f>
        <v>0</v>
      </c>
      <c r="G499" s="9">
        <f>0</f>
        <v>0</v>
      </c>
      <c r="H499" s="21"/>
    </row>
    <row r="500" spans="1:8" ht="28.5" customHeight="1" x14ac:dyDescent="0.25">
      <c r="A500" s="7" t="s">
        <v>491</v>
      </c>
      <c r="B500" s="8" t="s">
        <v>490</v>
      </c>
      <c r="C500" s="8"/>
      <c r="D500" s="8"/>
      <c r="E500" s="9">
        <f>E501</f>
        <v>1100</v>
      </c>
      <c r="F500" s="9">
        <f t="shared" ref="F500:G500" si="269">F501</f>
        <v>0</v>
      </c>
      <c r="G500" s="9">
        <f t="shared" si="269"/>
        <v>0</v>
      </c>
      <c r="H500" s="21"/>
    </row>
    <row r="501" spans="1:8" ht="26.4" x14ac:dyDescent="0.25">
      <c r="A501" s="7" t="s">
        <v>118</v>
      </c>
      <c r="B501" s="8" t="s">
        <v>490</v>
      </c>
      <c r="C501" s="8" t="s">
        <v>0</v>
      </c>
      <c r="D501" s="8"/>
      <c r="E501" s="9">
        <f>E502</f>
        <v>1100</v>
      </c>
      <c r="F501" s="9">
        <f t="shared" ref="F501:G501" si="270">F502</f>
        <v>0</v>
      </c>
      <c r="G501" s="9">
        <f t="shared" si="270"/>
        <v>0</v>
      </c>
      <c r="H501" s="21"/>
    </row>
    <row r="502" spans="1:8" ht="15" customHeight="1" x14ac:dyDescent="0.25">
      <c r="A502" s="7" t="s">
        <v>170</v>
      </c>
      <c r="B502" s="8" t="s">
        <v>490</v>
      </c>
      <c r="C502" s="8" t="s">
        <v>0</v>
      </c>
      <c r="D502" s="8" t="s">
        <v>96</v>
      </c>
      <c r="E502" s="9">
        <f>1100</f>
        <v>1100</v>
      </c>
      <c r="F502" s="9">
        <f>0</f>
        <v>0</v>
      </c>
      <c r="G502" s="9">
        <f>0</f>
        <v>0</v>
      </c>
      <c r="H502" s="21"/>
    </row>
    <row r="503" spans="1:8" ht="15.6" customHeight="1" x14ac:dyDescent="0.25">
      <c r="A503" s="7" t="s">
        <v>102</v>
      </c>
      <c r="B503" s="8" t="s">
        <v>103</v>
      </c>
      <c r="C503" s="8"/>
      <c r="D503" s="8"/>
      <c r="E503" s="9">
        <f>E515+E504+E506+E509+E512</f>
        <v>45612.3</v>
      </c>
      <c r="F503" s="9">
        <f t="shared" ref="F503:G503" si="271">F515+F504+F506+F509+F512</f>
        <v>2475</v>
      </c>
      <c r="G503" s="9">
        <f t="shared" si="271"/>
        <v>0</v>
      </c>
      <c r="H503" s="21"/>
    </row>
    <row r="504" spans="1:8" ht="26.4" x14ac:dyDescent="0.25">
      <c r="A504" s="7" t="s">
        <v>118</v>
      </c>
      <c r="B504" s="8" t="s">
        <v>103</v>
      </c>
      <c r="C504" s="8" t="s">
        <v>0</v>
      </c>
      <c r="D504" s="8"/>
      <c r="E504" s="9">
        <f>E505</f>
        <v>9888.9</v>
      </c>
      <c r="F504" s="9">
        <f t="shared" ref="F504:G504" si="272">F505</f>
        <v>0</v>
      </c>
      <c r="G504" s="9">
        <f t="shared" si="272"/>
        <v>0</v>
      </c>
      <c r="H504" s="21"/>
    </row>
    <row r="505" spans="1:8" ht="14.4" customHeight="1" x14ac:dyDescent="0.25">
      <c r="A505" s="7" t="s">
        <v>170</v>
      </c>
      <c r="B505" s="8" t="s">
        <v>103</v>
      </c>
      <c r="C505" s="8" t="s">
        <v>0</v>
      </c>
      <c r="D505" s="8" t="s">
        <v>96</v>
      </c>
      <c r="E505" s="9">
        <f>9888.9</f>
        <v>9888.9</v>
      </c>
      <c r="F505" s="9">
        <v>0</v>
      </c>
      <c r="G505" s="9">
        <v>0</v>
      </c>
      <c r="H505" s="21"/>
    </row>
    <row r="506" spans="1:8" ht="46.2" customHeight="1" x14ac:dyDescent="0.25">
      <c r="A506" s="7" t="s">
        <v>493</v>
      </c>
      <c r="B506" s="8" t="s">
        <v>492</v>
      </c>
      <c r="C506" s="8"/>
      <c r="D506" s="8"/>
      <c r="E506" s="9">
        <f>E507</f>
        <v>2300</v>
      </c>
      <c r="F506" s="9">
        <f t="shared" ref="F506:G506" si="273">F507</f>
        <v>0</v>
      </c>
      <c r="G506" s="9">
        <f t="shared" si="273"/>
        <v>0</v>
      </c>
      <c r="H506" s="21"/>
    </row>
    <row r="507" spans="1:8" ht="28.95" customHeight="1" x14ac:dyDescent="0.25">
      <c r="A507" s="7" t="s">
        <v>118</v>
      </c>
      <c r="B507" s="8" t="s">
        <v>492</v>
      </c>
      <c r="C507" s="8" t="s">
        <v>0</v>
      </c>
      <c r="D507" s="8"/>
      <c r="E507" s="9">
        <f>E508</f>
        <v>2300</v>
      </c>
      <c r="F507" s="9">
        <f t="shared" ref="F507:G507" si="274">F508</f>
        <v>0</v>
      </c>
      <c r="G507" s="9">
        <f t="shared" si="274"/>
        <v>0</v>
      </c>
      <c r="H507" s="21"/>
    </row>
    <row r="508" spans="1:8" ht="15" customHeight="1" x14ac:dyDescent="0.25">
      <c r="A508" s="7" t="s">
        <v>170</v>
      </c>
      <c r="B508" s="8" t="s">
        <v>492</v>
      </c>
      <c r="C508" s="8" t="s">
        <v>0</v>
      </c>
      <c r="D508" s="8" t="s">
        <v>96</v>
      </c>
      <c r="E508" s="9">
        <f>2300</f>
        <v>2300</v>
      </c>
      <c r="F508" s="9">
        <f>0</f>
        <v>0</v>
      </c>
      <c r="G508" s="9">
        <f>0</f>
        <v>0</v>
      </c>
      <c r="H508" s="21"/>
    </row>
    <row r="509" spans="1:8" ht="30" customHeight="1" x14ac:dyDescent="0.25">
      <c r="A509" s="7" t="s">
        <v>495</v>
      </c>
      <c r="B509" s="8" t="s">
        <v>494</v>
      </c>
      <c r="C509" s="8"/>
      <c r="D509" s="8"/>
      <c r="E509" s="9">
        <f>E510</f>
        <v>2300</v>
      </c>
      <c r="F509" s="9">
        <f t="shared" ref="F509:G509" si="275">F510</f>
        <v>0</v>
      </c>
      <c r="G509" s="9">
        <f t="shared" si="275"/>
        <v>0</v>
      </c>
      <c r="H509" s="21"/>
    </row>
    <row r="510" spans="1:8" ht="31.2" customHeight="1" x14ac:dyDescent="0.25">
      <c r="A510" s="7" t="s">
        <v>118</v>
      </c>
      <c r="B510" s="8" t="s">
        <v>494</v>
      </c>
      <c r="C510" s="8" t="s">
        <v>0</v>
      </c>
      <c r="D510" s="8"/>
      <c r="E510" s="9">
        <f>E511</f>
        <v>2300</v>
      </c>
      <c r="F510" s="9">
        <f t="shared" ref="F510:G510" si="276">F511</f>
        <v>0</v>
      </c>
      <c r="G510" s="9">
        <f t="shared" si="276"/>
        <v>0</v>
      </c>
      <c r="H510" s="21"/>
    </row>
    <row r="511" spans="1:8" ht="15" customHeight="1" x14ac:dyDescent="0.25">
      <c r="A511" s="7" t="s">
        <v>170</v>
      </c>
      <c r="B511" s="8" t="s">
        <v>494</v>
      </c>
      <c r="C511" s="8" t="s">
        <v>0</v>
      </c>
      <c r="D511" s="8" t="s">
        <v>96</v>
      </c>
      <c r="E511" s="9">
        <f>2300</f>
        <v>2300</v>
      </c>
      <c r="F511" s="9">
        <f>0</f>
        <v>0</v>
      </c>
      <c r="G511" s="9">
        <f>0</f>
        <v>0</v>
      </c>
      <c r="H511" s="21"/>
    </row>
    <row r="512" spans="1:8" ht="33" customHeight="1" x14ac:dyDescent="0.25">
      <c r="A512" s="7" t="s">
        <v>497</v>
      </c>
      <c r="B512" s="8" t="s">
        <v>496</v>
      </c>
      <c r="C512" s="8"/>
      <c r="D512" s="8"/>
      <c r="E512" s="9">
        <f>E513</f>
        <v>1052</v>
      </c>
      <c r="F512" s="9">
        <f t="shared" ref="F512:G512" si="277">F513</f>
        <v>0</v>
      </c>
      <c r="G512" s="9">
        <f t="shared" si="277"/>
        <v>0</v>
      </c>
      <c r="H512" s="21"/>
    </row>
    <row r="513" spans="1:8" ht="26.4" customHeight="1" x14ac:dyDescent="0.25">
      <c r="A513" s="7" t="s">
        <v>158</v>
      </c>
      <c r="B513" s="8" t="s">
        <v>496</v>
      </c>
      <c r="C513" s="8" t="s">
        <v>3</v>
      </c>
      <c r="D513" s="8"/>
      <c r="E513" s="9">
        <f>E514</f>
        <v>1052</v>
      </c>
      <c r="F513" s="9">
        <f t="shared" ref="F513:G513" si="278">F514</f>
        <v>0</v>
      </c>
      <c r="G513" s="9">
        <f t="shared" si="278"/>
        <v>0</v>
      </c>
      <c r="H513" s="21"/>
    </row>
    <row r="514" spans="1:8" ht="16.95" customHeight="1" x14ac:dyDescent="0.25">
      <c r="A514" s="7" t="s">
        <v>164</v>
      </c>
      <c r="B514" s="8" t="s">
        <v>496</v>
      </c>
      <c r="C514" s="8" t="s">
        <v>3</v>
      </c>
      <c r="D514" s="8" t="s">
        <v>61</v>
      </c>
      <c r="E514" s="9">
        <f>1052</f>
        <v>1052</v>
      </c>
      <c r="F514" s="9">
        <f>0</f>
        <v>0</v>
      </c>
      <c r="G514" s="9">
        <f>0</f>
        <v>0</v>
      </c>
      <c r="H514" s="21"/>
    </row>
    <row r="515" spans="1:8" ht="39.6" x14ac:dyDescent="0.25">
      <c r="A515" s="7" t="s">
        <v>356</v>
      </c>
      <c r="B515" s="8" t="s">
        <v>104</v>
      </c>
      <c r="C515" s="8"/>
      <c r="D515" s="8"/>
      <c r="E515" s="9">
        <f>E516</f>
        <v>30071.4</v>
      </c>
      <c r="F515" s="9">
        <f t="shared" ref="F515:G515" si="279">F516</f>
        <v>2475</v>
      </c>
      <c r="G515" s="9">
        <f t="shared" si="279"/>
        <v>0</v>
      </c>
      <c r="H515" s="21"/>
    </row>
    <row r="516" spans="1:8" ht="26.4" x14ac:dyDescent="0.25">
      <c r="A516" s="7" t="s">
        <v>118</v>
      </c>
      <c r="B516" s="8" t="s">
        <v>104</v>
      </c>
      <c r="C516" s="8" t="s">
        <v>0</v>
      </c>
      <c r="D516" s="8"/>
      <c r="E516" s="9">
        <f>E517</f>
        <v>30071.4</v>
      </c>
      <c r="F516" s="9">
        <f t="shared" ref="F516:G516" si="280">F517</f>
        <v>2475</v>
      </c>
      <c r="G516" s="9">
        <f t="shared" si="280"/>
        <v>0</v>
      </c>
      <c r="H516" s="21"/>
    </row>
    <row r="517" spans="1:8" x14ac:dyDescent="0.25">
      <c r="A517" s="7" t="s">
        <v>170</v>
      </c>
      <c r="B517" s="8" t="s">
        <v>104</v>
      </c>
      <c r="C517" s="8" t="s">
        <v>0</v>
      </c>
      <c r="D517" s="8" t="s">
        <v>96</v>
      </c>
      <c r="E517" s="9">
        <f>30071.4</f>
        <v>30071.4</v>
      </c>
      <c r="F517" s="9">
        <f>2475</f>
        <v>2475</v>
      </c>
      <c r="G517" s="9">
        <f>0</f>
        <v>0</v>
      </c>
      <c r="H517" s="21"/>
    </row>
    <row r="518" spans="1:8" ht="26.4" x14ac:dyDescent="0.25">
      <c r="A518" s="7" t="s">
        <v>317</v>
      </c>
      <c r="B518" s="8" t="s">
        <v>316</v>
      </c>
      <c r="C518" s="8"/>
      <c r="D518" s="8"/>
      <c r="E518" s="9">
        <f>E519+E522+E536</f>
        <v>52850.3</v>
      </c>
      <c r="F518" s="9">
        <f t="shared" ref="F518:G518" si="281">F519+F522+F536</f>
        <v>10096.200000000001</v>
      </c>
      <c r="G518" s="9">
        <f t="shared" si="281"/>
        <v>10288</v>
      </c>
      <c r="H518" s="21"/>
    </row>
    <row r="519" spans="1:8" ht="27" customHeight="1" x14ac:dyDescent="0.25">
      <c r="A519" s="7" t="s">
        <v>499</v>
      </c>
      <c r="B519" s="8" t="s">
        <v>498</v>
      </c>
      <c r="C519" s="8"/>
      <c r="D519" s="8"/>
      <c r="E519" s="9">
        <f>E520</f>
        <v>60</v>
      </c>
      <c r="F519" s="9">
        <f t="shared" ref="F519:G519" si="282">F520</f>
        <v>0</v>
      </c>
      <c r="G519" s="9">
        <f t="shared" si="282"/>
        <v>0</v>
      </c>
      <c r="H519" s="21"/>
    </row>
    <row r="520" spans="1:8" ht="26.4" x14ac:dyDescent="0.25">
      <c r="A520" s="7" t="s">
        <v>158</v>
      </c>
      <c r="B520" s="8" t="s">
        <v>498</v>
      </c>
      <c r="C520" s="8" t="s">
        <v>3</v>
      </c>
      <c r="D520" s="8"/>
      <c r="E520" s="9">
        <f>E521</f>
        <v>60</v>
      </c>
      <c r="F520" s="9">
        <f t="shared" ref="F520:G520" si="283">F521</f>
        <v>0</v>
      </c>
      <c r="G520" s="9">
        <f t="shared" si="283"/>
        <v>0</v>
      </c>
      <c r="H520" s="21"/>
    </row>
    <row r="521" spans="1:8" x14ac:dyDescent="0.25">
      <c r="A521" s="7" t="s">
        <v>159</v>
      </c>
      <c r="B521" s="8" t="s">
        <v>498</v>
      </c>
      <c r="C521" s="8" t="s">
        <v>3</v>
      </c>
      <c r="D521" s="8" t="s">
        <v>38</v>
      </c>
      <c r="E521" s="9">
        <f>60</f>
        <v>60</v>
      </c>
      <c r="F521" s="9">
        <f>0</f>
        <v>0</v>
      </c>
      <c r="G521" s="9">
        <f>0</f>
        <v>0</v>
      </c>
      <c r="H521" s="21"/>
    </row>
    <row r="522" spans="1:8" ht="26.4" x14ac:dyDescent="0.25">
      <c r="A522" s="7" t="s">
        <v>319</v>
      </c>
      <c r="B522" s="8" t="s">
        <v>318</v>
      </c>
      <c r="C522" s="8"/>
      <c r="D522" s="8"/>
      <c r="E522" s="9">
        <f>E523+E527+E530+E533</f>
        <v>46693.3</v>
      </c>
      <c r="F522" s="9">
        <f t="shared" ref="F522:G522" si="284">F523+F527+F530+F533</f>
        <v>4896.2</v>
      </c>
      <c r="G522" s="9">
        <f t="shared" si="284"/>
        <v>5088</v>
      </c>
      <c r="H522" s="21"/>
    </row>
    <row r="523" spans="1:8" ht="26.4" x14ac:dyDescent="0.25">
      <c r="A523" s="7" t="s">
        <v>118</v>
      </c>
      <c r="B523" s="8" t="s">
        <v>318</v>
      </c>
      <c r="C523" s="8" t="s">
        <v>0</v>
      </c>
      <c r="D523" s="8"/>
      <c r="E523" s="9">
        <f>E524+E525+E526</f>
        <v>4030</v>
      </c>
      <c r="F523" s="9">
        <f t="shared" ref="F523:G523" si="285">F524+F525+F526</f>
        <v>4896.2</v>
      </c>
      <c r="G523" s="9">
        <f t="shared" si="285"/>
        <v>5088</v>
      </c>
      <c r="H523" s="21"/>
    </row>
    <row r="524" spans="1:8" ht="16.95" customHeight="1" x14ac:dyDescent="0.25">
      <c r="A524" s="7" t="s">
        <v>170</v>
      </c>
      <c r="B524" s="8" t="s">
        <v>318</v>
      </c>
      <c r="C524" s="8" t="s">
        <v>0</v>
      </c>
      <c r="D524" s="8" t="s">
        <v>96</v>
      </c>
      <c r="E524" s="9">
        <f>3200</f>
        <v>3200</v>
      </c>
      <c r="F524" s="9">
        <f>0</f>
        <v>0</v>
      </c>
      <c r="G524" s="9">
        <f>0</f>
        <v>0</v>
      </c>
      <c r="H524" s="21"/>
    </row>
    <row r="525" spans="1:8" ht="16.95" customHeight="1" x14ac:dyDescent="0.25">
      <c r="A525" s="7" t="s">
        <v>393</v>
      </c>
      <c r="B525" s="8" t="s">
        <v>318</v>
      </c>
      <c r="C525" s="8" t="s">
        <v>0</v>
      </c>
      <c r="D525" s="8" t="s">
        <v>394</v>
      </c>
      <c r="E525" s="9">
        <f>500</f>
        <v>500</v>
      </c>
      <c r="F525" s="9">
        <f>0</f>
        <v>0</v>
      </c>
      <c r="G525" s="9">
        <f>0</f>
        <v>0</v>
      </c>
      <c r="H525" s="21"/>
    </row>
    <row r="526" spans="1:8" ht="16.95" customHeight="1" x14ac:dyDescent="0.25">
      <c r="A526" s="7" t="s">
        <v>171</v>
      </c>
      <c r="B526" s="8" t="s">
        <v>318</v>
      </c>
      <c r="C526" s="8" t="s">
        <v>0</v>
      </c>
      <c r="D526" s="8" t="s">
        <v>97</v>
      </c>
      <c r="E526" s="9">
        <f>330</f>
        <v>330</v>
      </c>
      <c r="F526" s="9">
        <f>4896.2</f>
        <v>4896.2</v>
      </c>
      <c r="G526" s="9">
        <f>5088</f>
        <v>5088</v>
      </c>
      <c r="H526" s="21"/>
    </row>
    <row r="527" spans="1:8" ht="39.6" customHeight="1" x14ac:dyDescent="0.25">
      <c r="A527" s="7" t="s">
        <v>501</v>
      </c>
      <c r="B527" s="8" t="s">
        <v>500</v>
      </c>
      <c r="C527" s="8"/>
      <c r="D527" s="8"/>
      <c r="E527" s="9">
        <f>E528</f>
        <v>13603.5</v>
      </c>
      <c r="F527" s="9">
        <f t="shared" ref="F527:G527" si="286">F528</f>
        <v>0</v>
      </c>
      <c r="G527" s="9">
        <f t="shared" si="286"/>
        <v>0</v>
      </c>
      <c r="H527" s="21"/>
    </row>
    <row r="528" spans="1:8" ht="30.6" customHeight="1" x14ac:dyDescent="0.25">
      <c r="A528" s="7" t="s">
        <v>118</v>
      </c>
      <c r="B528" s="8" t="s">
        <v>500</v>
      </c>
      <c r="C528" s="8" t="s">
        <v>0</v>
      </c>
      <c r="D528" s="8"/>
      <c r="E528" s="9">
        <f>E529</f>
        <v>13603.5</v>
      </c>
      <c r="F528" s="9">
        <f t="shared" ref="F528:G528" si="287">F529</f>
        <v>0</v>
      </c>
      <c r="G528" s="9">
        <f t="shared" si="287"/>
        <v>0</v>
      </c>
      <c r="H528" s="21"/>
    </row>
    <row r="529" spans="1:8" ht="18" customHeight="1" x14ac:dyDescent="0.25">
      <c r="A529" s="7" t="s">
        <v>171</v>
      </c>
      <c r="B529" s="8" t="s">
        <v>500</v>
      </c>
      <c r="C529" s="8" t="s">
        <v>0</v>
      </c>
      <c r="D529" s="8" t="s">
        <v>97</v>
      </c>
      <c r="E529" s="9">
        <f>13603.5</f>
        <v>13603.5</v>
      </c>
      <c r="F529" s="9">
        <f>0</f>
        <v>0</v>
      </c>
      <c r="G529" s="9">
        <f>0</f>
        <v>0</v>
      </c>
      <c r="H529" s="21"/>
    </row>
    <row r="530" spans="1:8" ht="41.4" customHeight="1" x14ac:dyDescent="0.25">
      <c r="A530" s="7" t="s">
        <v>502</v>
      </c>
      <c r="B530" s="8" t="s">
        <v>508</v>
      </c>
      <c r="C530" s="8"/>
      <c r="D530" s="8"/>
      <c r="E530" s="9">
        <f>E531</f>
        <v>18971</v>
      </c>
      <c r="F530" s="9">
        <f t="shared" ref="F530:G530" si="288">F531</f>
        <v>0</v>
      </c>
      <c r="G530" s="9">
        <f t="shared" si="288"/>
        <v>0</v>
      </c>
      <c r="H530" s="21"/>
    </row>
    <row r="531" spans="1:8" ht="28.2" customHeight="1" x14ac:dyDescent="0.25">
      <c r="A531" s="7" t="s">
        <v>118</v>
      </c>
      <c r="B531" s="8" t="s">
        <v>508</v>
      </c>
      <c r="C531" s="8" t="s">
        <v>0</v>
      </c>
      <c r="D531" s="8"/>
      <c r="E531" s="9">
        <f>E532</f>
        <v>18971</v>
      </c>
      <c r="F531" s="9">
        <f t="shared" ref="F531:G531" si="289">F532</f>
        <v>0</v>
      </c>
      <c r="G531" s="9">
        <f t="shared" si="289"/>
        <v>0</v>
      </c>
      <c r="H531" s="21"/>
    </row>
    <row r="532" spans="1:8" ht="15.6" customHeight="1" x14ac:dyDescent="0.25">
      <c r="A532" s="7" t="s">
        <v>171</v>
      </c>
      <c r="B532" s="8" t="s">
        <v>508</v>
      </c>
      <c r="C532" s="8" t="s">
        <v>0</v>
      </c>
      <c r="D532" s="8" t="s">
        <v>97</v>
      </c>
      <c r="E532" s="9">
        <f>18971</f>
        <v>18971</v>
      </c>
      <c r="F532" s="9">
        <f>0</f>
        <v>0</v>
      </c>
      <c r="G532" s="9">
        <f>0</f>
        <v>0</v>
      </c>
      <c r="H532" s="21"/>
    </row>
    <row r="533" spans="1:8" ht="26.25" customHeight="1" x14ac:dyDescent="0.25">
      <c r="A533" s="7" t="s">
        <v>333</v>
      </c>
      <c r="B533" s="8" t="s">
        <v>332</v>
      </c>
      <c r="C533" s="8"/>
      <c r="D533" s="8"/>
      <c r="E533" s="9">
        <f>E534</f>
        <v>10088.799999999999</v>
      </c>
      <c r="F533" s="9">
        <f t="shared" ref="F533:G533" si="290">F534</f>
        <v>0</v>
      </c>
      <c r="G533" s="9">
        <f t="shared" si="290"/>
        <v>0</v>
      </c>
      <c r="H533" s="21"/>
    </row>
    <row r="534" spans="1:8" ht="28.95" customHeight="1" x14ac:dyDescent="0.25">
      <c r="A534" s="7" t="s">
        <v>118</v>
      </c>
      <c r="B534" s="8" t="s">
        <v>332</v>
      </c>
      <c r="C534" s="8" t="s">
        <v>0</v>
      </c>
      <c r="D534" s="8"/>
      <c r="E534" s="9">
        <f>E535</f>
        <v>10088.799999999999</v>
      </c>
      <c r="F534" s="9">
        <f t="shared" ref="F534:G534" si="291">F535</f>
        <v>0</v>
      </c>
      <c r="G534" s="9">
        <f t="shared" si="291"/>
        <v>0</v>
      </c>
      <c r="H534" s="21"/>
    </row>
    <row r="535" spans="1:8" ht="18" customHeight="1" x14ac:dyDescent="0.25">
      <c r="A535" s="7" t="s">
        <v>171</v>
      </c>
      <c r="B535" s="8" t="s">
        <v>332</v>
      </c>
      <c r="C535" s="8" t="s">
        <v>0</v>
      </c>
      <c r="D535" s="8" t="s">
        <v>97</v>
      </c>
      <c r="E535" s="9">
        <f>10088.8</f>
        <v>10088.799999999999</v>
      </c>
      <c r="F535" s="9">
        <v>0</v>
      </c>
      <c r="G535" s="9">
        <f>0</f>
        <v>0</v>
      </c>
      <c r="H535" s="21"/>
    </row>
    <row r="536" spans="1:8" ht="29.25" customHeight="1" x14ac:dyDescent="0.25">
      <c r="A536" s="7" t="s">
        <v>321</v>
      </c>
      <c r="B536" s="8" t="s">
        <v>320</v>
      </c>
      <c r="C536" s="8"/>
      <c r="D536" s="8"/>
      <c r="E536" s="9">
        <f>E537+E540</f>
        <v>6097</v>
      </c>
      <c r="F536" s="9">
        <f t="shared" ref="F536:G536" si="292">F537+F540</f>
        <v>5200</v>
      </c>
      <c r="G536" s="9">
        <f t="shared" si="292"/>
        <v>5200</v>
      </c>
      <c r="H536" s="21"/>
    </row>
    <row r="537" spans="1:8" ht="26.4" x14ac:dyDescent="0.25">
      <c r="A537" s="7" t="s">
        <v>118</v>
      </c>
      <c r="B537" s="8" t="s">
        <v>320</v>
      </c>
      <c r="C537" s="8" t="s">
        <v>0</v>
      </c>
      <c r="D537" s="8"/>
      <c r="E537" s="9">
        <f>E538+E539</f>
        <v>5897</v>
      </c>
      <c r="F537" s="9">
        <f t="shared" ref="F537:G537" si="293">F538+F539</f>
        <v>5200</v>
      </c>
      <c r="G537" s="9">
        <f t="shared" si="293"/>
        <v>5200</v>
      </c>
      <c r="H537" s="21"/>
    </row>
    <row r="538" spans="1:8" x14ac:dyDescent="0.25">
      <c r="A538" s="7" t="s">
        <v>170</v>
      </c>
      <c r="B538" s="8" t="s">
        <v>320</v>
      </c>
      <c r="C538" s="8" t="s">
        <v>0</v>
      </c>
      <c r="D538" s="8" t="s">
        <v>96</v>
      </c>
      <c r="E538" s="9">
        <v>5297</v>
      </c>
      <c r="F538" s="9">
        <f>5200</f>
        <v>5200</v>
      </c>
      <c r="G538" s="9">
        <f>5200</f>
        <v>5200</v>
      </c>
      <c r="H538" s="21"/>
    </row>
    <row r="539" spans="1:8" x14ac:dyDescent="0.25">
      <c r="A539" s="7" t="s">
        <v>171</v>
      </c>
      <c r="B539" s="8" t="s">
        <v>320</v>
      </c>
      <c r="C539" s="8" t="s">
        <v>0</v>
      </c>
      <c r="D539" s="8" t="s">
        <v>97</v>
      </c>
      <c r="E539" s="9">
        <v>600</v>
      </c>
      <c r="F539" s="9">
        <v>0</v>
      </c>
      <c r="G539" s="9">
        <v>0</v>
      </c>
      <c r="H539" s="21"/>
    </row>
    <row r="540" spans="1:8" ht="26.4" x14ac:dyDescent="0.25">
      <c r="A540" s="7" t="s">
        <v>158</v>
      </c>
      <c r="B540" s="8" t="s">
        <v>320</v>
      </c>
      <c r="C540" s="8" t="s">
        <v>3</v>
      </c>
      <c r="D540" s="8"/>
      <c r="E540" s="9">
        <f>E541</f>
        <v>200</v>
      </c>
      <c r="F540" s="9">
        <f t="shared" ref="F540:G540" si="294">F541</f>
        <v>0</v>
      </c>
      <c r="G540" s="9">
        <f t="shared" si="294"/>
        <v>0</v>
      </c>
      <c r="H540" s="21"/>
    </row>
    <row r="541" spans="1:8" x14ac:dyDescent="0.25">
      <c r="A541" s="7" t="s">
        <v>159</v>
      </c>
      <c r="B541" s="8" t="s">
        <v>320</v>
      </c>
      <c r="C541" s="8" t="s">
        <v>3</v>
      </c>
      <c r="D541" s="8" t="s">
        <v>38</v>
      </c>
      <c r="E541" s="9">
        <f>200</f>
        <v>200</v>
      </c>
      <c r="F541" s="9">
        <f>0</f>
        <v>0</v>
      </c>
      <c r="G541" s="9">
        <f>0</f>
        <v>0</v>
      </c>
      <c r="H541" s="21"/>
    </row>
    <row r="542" spans="1:8" ht="26.25" customHeight="1" x14ac:dyDescent="0.25">
      <c r="A542" s="7" t="s">
        <v>359</v>
      </c>
      <c r="B542" s="8" t="s">
        <v>337</v>
      </c>
      <c r="C542" s="8"/>
      <c r="D542" s="8"/>
      <c r="E542" s="9">
        <f>E543+E551+E555</f>
        <v>119.6</v>
      </c>
      <c r="F542" s="9">
        <f t="shared" ref="F542:G542" si="295">F543+F551+F555</f>
        <v>100</v>
      </c>
      <c r="G542" s="9">
        <f t="shared" si="295"/>
        <v>100</v>
      </c>
      <c r="H542" s="21"/>
    </row>
    <row r="543" spans="1:8" ht="31.95" customHeight="1" x14ac:dyDescent="0.25">
      <c r="A543" s="7" t="s">
        <v>339</v>
      </c>
      <c r="B543" s="8" t="s">
        <v>338</v>
      </c>
      <c r="C543" s="8"/>
      <c r="D543" s="8"/>
      <c r="E543" s="9">
        <f>E544+E546+E548</f>
        <v>79.599999999999994</v>
      </c>
      <c r="F543" s="9">
        <f t="shared" ref="F543:G543" si="296">F544+F546+F548</f>
        <v>60</v>
      </c>
      <c r="G543" s="9">
        <f t="shared" si="296"/>
        <v>60</v>
      </c>
      <c r="H543" s="21"/>
    </row>
    <row r="544" spans="1:8" ht="26.4" customHeight="1" x14ac:dyDescent="0.25">
      <c r="A544" s="7" t="s">
        <v>118</v>
      </c>
      <c r="B544" s="8" t="s">
        <v>338</v>
      </c>
      <c r="C544" s="8" t="s">
        <v>0</v>
      </c>
      <c r="D544" s="8"/>
      <c r="E544" s="9">
        <f>E545</f>
        <v>30</v>
      </c>
      <c r="F544" s="9">
        <f t="shared" ref="F544:G544" si="297">F545</f>
        <v>60</v>
      </c>
      <c r="G544" s="9">
        <f t="shared" si="297"/>
        <v>60</v>
      </c>
      <c r="H544" s="21"/>
    </row>
    <row r="545" spans="1:8" ht="16.2" customHeight="1" x14ac:dyDescent="0.25">
      <c r="A545" s="32" t="s">
        <v>151</v>
      </c>
      <c r="B545" s="8" t="s">
        <v>338</v>
      </c>
      <c r="C545" s="8" t="s">
        <v>0</v>
      </c>
      <c r="D545" s="8" t="s">
        <v>93</v>
      </c>
      <c r="E545" s="9">
        <f>30</f>
        <v>30</v>
      </c>
      <c r="F545" s="9">
        <f>60</f>
        <v>60</v>
      </c>
      <c r="G545" s="9">
        <f>60</f>
        <v>60</v>
      </c>
      <c r="H545" s="21"/>
    </row>
    <row r="546" spans="1:8" ht="26.4" x14ac:dyDescent="0.25">
      <c r="A546" s="7" t="s">
        <v>158</v>
      </c>
      <c r="B546" s="8" t="s">
        <v>338</v>
      </c>
      <c r="C546" s="8" t="s">
        <v>3</v>
      </c>
      <c r="D546" s="8"/>
      <c r="E546" s="9">
        <f>E547</f>
        <v>30</v>
      </c>
      <c r="F546" s="9">
        <f t="shared" ref="F546:G546" si="298">F547</f>
        <v>0</v>
      </c>
      <c r="G546" s="9">
        <f t="shared" si="298"/>
        <v>0</v>
      </c>
      <c r="H546" s="21"/>
    </row>
    <row r="547" spans="1:8" x14ac:dyDescent="0.25">
      <c r="A547" s="32" t="s">
        <v>164</v>
      </c>
      <c r="B547" s="8" t="s">
        <v>338</v>
      </c>
      <c r="C547" s="8" t="s">
        <v>3</v>
      </c>
      <c r="D547" s="8" t="s">
        <v>61</v>
      </c>
      <c r="E547" s="9">
        <f>30</f>
        <v>30</v>
      </c>
      <c r="F547" s="9">
        <f>0</f>
        <v>0</v>
      </c>
      <c r="G547" s="9">
        <f>0</f>
        <v>0</v>
      </c>
      <c r="H547" s="21"/>
    </row>
    <row r="548" spans="1:8" ht="29.4" customHeight="1" x14ac:dyDescent="0.25">
      <c r="A548" s="32" t="s">
        <v>504</v>
      </c>
      <c r="B548" s="8" t="s">
        <v>503</v>
      </c>
      <c r="C548" s="8"/>
      <c r="D548" s="8"/>
      <c r="E548" s="9">
        <f>E549</f>
        <v>19.600000000000001</v>
      </c>
      <c r="F548" s="9">
        <f t="shared" ref="F548:G548" si="299">F549</f>
        <v>0</v>
      </c>
      <c r="G548" s="9">
        <f t="shared" si="299"/>
        <v>0</v>
      </c>
      <c r="H548" s="21"/>
    </row>
    <row r="549" spans="1:8" ht="26.4" x14ac:dyDescent="0.25">
      <c r="A549" s="7" t="s">
        <v>158</v>
      </c>
      <c r="B549" s="8" t="s">
        <v>503</v>
      </c>
      <c r="C549" s="8" t="s">
        <v>3</v>
      </c>
      <c r="D549" s="8"/>
      <c r="E549" s="9">
        <f>E550</f>
        <v>19.600000000000001</v>
      </c>
      <c r="F549" s="9">
        <f t="shared" ref="F549:G549" si="300">F550</f>
        <v>0</v>
      </c>
      <c r="G549" s="9">
        <f t="shared" si="300"/>
        <v>0</v>
      </c>
      <c r="H549" s="21"/>
    </row>
    <row r="550" spans="1:8" x14ac:dyDescent="0.25">
      <c r="A550" s="32" t="s">
        <v>164</v>
      </c>
      <c r="B550" s="8" t="s">
        <v>503</v>
      </c>
      <c r="C550" s="8" t="s">
        <v>3</v>
      </c>
      <c r="D550" s="8" t="s">
        <v>61</v>
      </c>
      <c r="E550" s="9">
        <f>19.6</f>
        <v>19.600000000000001</v>
      </c>
      <c r="F550" s="9">
        <f>0</f>
        <v>0</v>
      </c>
      <c r="G550" s="9">
        <f>0</f>
        <v>0</v>
      </c>
      <c r="H550" s="21"/>
    </row>
    <row r="551" spans="1:8" ht="42" customHeight="1" x14ac:dyDescent="0.25">
      <c r="A551" s="7" t="s">
        <v>341</v>
      </c>
      <c r="B551" s="8" t="s">
        <v>340</v>
      </c>
      <c r="C551" s="8"/>
      <c r="D551" s="8"/>
      <c r="E551" s="9">
        <f>E552</f>
        <v>20</v>
      </c>
      <c r="F551" s="9">
        <f t="shared" ref="F551:G551" si="301">F552</f>
        <v>20</v>
      </c>
      <c r="G551" s="9">
        <f t="shared" si="301"/>
        <v>20</v>
      </c>
      <c r="H551" s="21"/>
    </row>
    <row r="552" spans="1:8" ht="26.4" x14ac:dyDescent="0.25">
      <c r="A552" s="7" t="s">
        <v>118</v>
      </c>
      <c r="B552" s="8" t="s">
        <v>340</v>
      </c>
      <c r="C552" s="8" t="s">
        <v>0</v>
      </c>
      <c r="D552" s="8"/>
      <c r="E552" s="9">
        <f>E553+E554</f>
        <v>20</v>
      </c>
      <c r="F552" s="9">
        <f t="shared" ref="F552:G552" si="302">F553+F554</f>
        <v>20</v>
      </c>
      <c r="G552" s="9">
        <f t="shared" si="302"/>
        <v>20</v>
      </c>
      <c r="H552" s="21"/>
    </row>
    <row r="553" spans="1:8" x14ac:dyDescent="0.25">
      <c r="A553" s="32" t="s">
        <v>151</v>
      </c>
      <c r="B553" s="8" t="s">
        <v>340</v>
      </c>
      <c r="C553" s="8" t="s">
        <v>0</v>
      </c>
      <c r="D553" s="8" t="s">
        <v>93</v>
      </c>
      <c r="E553" s="9">
        <f>0</f>
        <v>0</v>
      </c>
      <c r="F553" s="9">
        <f>20</f>
        <v>20</v>
      </c>
      <c r="G553" s="9">
        <f>20</f>
        <v>20</v>
      </c>
      <c r="H553" s="21"/>
    </row>
    <row r="554" spans="1:8" x14ac:dyDescent="0.25">
      <c r="A554" s="32" t="s">
        <v>167</v>
      </c>
      <c r="B554" s="8" t="s">
        <v>340</v>
      </c>
      <c r="C554" s="8" t="s">
        <v>0</v>
      </c>
      <c r="D554" s="8" t="s">
        <v>73</v>
      </c>
      <c r="E554" s="9">
        <f>20</f>
        <v>20</v>
      </c>
      <c r="F554" s="9">
        <f>0</f>
        <v>0</v>
      </c>
      <c r="G554" s="9">
        <f>0</f>
        <v>0</v>
      </c>
      <c r="H554" s="21"/>
    </row>
    <row r="555" spans="1:8" ht="39.6" x14ac:dyDescent="0.25">
      <c r="A555" s="32" t="s">
        <v>343</v>
      </c>
      <c r="B555" s="8" t="s">
        <v>342</v>
      </c>
      <c r="C555" s="8"/>
      <c r="D555" s="8"/>
      <c r="E555" s="9">
        <f>E556</f>
        <v>20</v>
      </c>
      <c r="F555" s="9">
        <f t="shared" ref="F555:G555" si="303">F556</f>
        <v>20</v>
      </c>
      <c r="G555" s="9">
        <f t="shared" si="303"/>
        <v>20</v>
      </c>
      <c r="H555" s="21"/>
    </row>
    <row r="556" spans="1:8" ht="26.4" x14ac:dyDescent="0.25">
      <c r="A556" s="7" t="s">
        <v>118</v>
      </c>
      <c r="B556" s="8" t="s">
        <v>342</v>
      </c>
      <c r="C556" s="8" t="s">
        <v>0</v>
      </c>
      <c r="D556" s="8"/>
      <c r="E556" s="9">
        <f>E557</f>
        <v>20</v>
      </c>
      <c r="F556" s="9">
        <f t="shared" ref="F556:G556" si="304">F557</f>
        <v>20</v>
      </c>
      <c r="G556" s="9">
        <f t="shared" si="304"/>
        <v>20</v>
      </c>
      <c r="H556" s="21"/>
    </row>
    <row r="557" spans="1:8" x14ac:dyDescent="0.25">
      <c r="A557" s="32" t="s">
        <v>151</v>
      </c>
      <c r="B557" s="8" t="s">
        <v>342</v>
      </c>
      <c r="C557" s="8" t="s">
        <v>0</v>
      </c>
      <c r="D557" s="8" t="s">
        <v>93</v>
      </c>
      <c r="E557" s="9">
        <f>20</f>
        <v>20</v>
      </c>
      <c r="F557" s="9">
        <f>20</f>
        <v>20</v>
      </c>
      <c r="G557" s="9">
        <f>20</f>
        <v>20</v>
      </c>
      <c r="H557" s="21"/>
    </row>
    <row r="558" spans="1:8" x14ac:dyDescent="0.25">
      <c r="A558" s="35" t="s">
        <v>266</v>
      </c>
      <c r="B558" s="36"/>
      <c r="C558" s="36"/>
      <c r="D558" s="36"/>
      <c r="E558" s="37">
        <f>E559+E599+E609+E629+E633+E639+E645+E654+E662+E666+E674+E680+E683+E687+E692+E695+E702+E709+E718+E720+E726+E738+E746+E753+E606+E658</f>
        <v>439220.39999999997</v>
      </c>
      <c r="F558" s="37">
        <f t="shared" ref="F558:G558" si="305">F559+F599+F609+F629+F633+F639+F645+F654+F662+F666+F674+F680+F683+F687+F692+F695+F702+F709+F718+F720+F726+F738+F746+F753+F606+F658</f>
        <v>260513.50000000003</v>
      </c>
      <c r="G558" s="37">
        <f t="shared" si="305"/>
        <v>339461</v>
      </c>
      <c r="H558" s="27"/>
    </row>
    <row r="559" spans="1:8" ht="39.6" x14ac:dyDescent="0.25">
      <c r="A559" s="32" t="s">
        <v>177</v>
      </c>
      <c r="B559" s="38" t="s">
        <v>178</v>
      </c>
      <c r="C559" s="39"/>
      <c r="D559" s="39"/>
      <c r="E559" s="37">
        <f>E560+E563+E584+E587+E590</f>
        <v>193834.6</v>
      </c>
      <c r="F559" s="37">
        <f>F560+F563+F584+F587+F590</f>
        <v>103280.90000000001</v>
      </c>
      <c r="G559" s="37">
        <f>G560+G563+G584+G587+G590</f>
        <v>104207.00000000001</v>
      </c>
      <c r="H559" s="21"/>
    </row>
    <row r="560" spans="1:8" x14ac:dyDescent="0.25">
      <c r="A560" s="32" t="s">
        <v>353</v>
      </c>
      <c r="B560" s="38" t="s">
        <v>352</v>
      </c>
      <c r="C560" s="39"/>
      <c r="D560" s="39"/>
      <c r="E560" s="37">
        <f>E561</f>
        <v>4644.6000000000004</v>
      </c>
      <c r="F560" s="37">
        <f t="shared" ref="F560:G561" si="306">F561</f>
        <v>1751.5</v>
      </c>
      <c r="G560" s="37">
        <f t="shared" si="306"/>
        <v>1751.5</v>
      </c>
      <c r="H560" s="21"/>
    </row>
    <row r="561" spans="1:8" ht="52.8" x14ac:dyDescent="0.25">
      <c r="A561" s="32" t="s">
        <v>117</v>
      </c>
      <c r="B561" s="38" t="s">
        <v>352</v>
      </c>
      <c r="C561" s="40">
        <v>100</v>
      </c>
      <c r="D561" s="39"/>
      <c r="E561" s="37">
        <f>E562</f>
        <v>4644.6000000000004</v>
      </c>
      <c r="F561" s="37">
        <f t="shared" si="306"/>
        <v>1751.5</v>
      </c>
      <c r="G561" s="37">
        <f t="shared" si="306"/>
        <v>1751.5</v>
      </c>
      <c r="H561" s="21"/>
    </row>
    <row r="562" spans="1:8" ht="26.4" x14ac:dyDescent="0.25">
      <c r="A562" s="32" t="s">
        <v>179</v>
      </c>
      <c r="B562" s="38" t="s">
        <v>352</v>
      </c>
      <c r="C562" s="40">
        <v>100</v>
      </c>
      <c r="D562" s="38" t="s">
        <v>180</v>
      </c>
      <c r="E562" s="37">
        <f>4644.6</f>
        <v>4644.6000000000004</v>
      </c>
      <c r="F562" s="37">
        <f>1751.5</f>
        <v>1751.5</v>
      </c>
      <c r="G562" s="37">
        <f>1751.5</f>
        <v>1751.5</v>
      </c>
      <c r="H562" s="21"/>
    </row>
    <row r="563" spans="1:8" x14ac:dyDescent="0.25">
      <c r="A563" s="10" t="s">
        <v>181</v>
      </c>
      <c r="B563" s="38" t="s">
        <v>182</v>
      </c>
      <c r="C563" s="39"/>
      <c r="D563" s="39"/>
      <c r="E563" s="37">
        <f>E564+E573+E580</f>
        <v>179388.5</v>
      </c>
      <c r="F563" s="37">
        <f>F564+F573+F580</f>
        <v>97297.60000000002</v>
      </c>
      <c r="G563" s="37">
        <f>G564+G573+G580</f>
        <v>98223.700000000026</v>
      </c>
      <c r="H563" s="21"/>
    </row>
    <row r="564" spans="1:8" ht="52.8" x14ac:dyDescent="0.25">
      <c r="A564" s="32" t="s">
        <v>117</v>
      </c>
      <c r="B564" s="38" t="s">
        <v>182</v>
      </c>
      <c r="C564" s="38" t="s">
        <v>4</v>
      </c>
      <c r="D564" s="39"/>
      <c r="E564" s="37">
        <f>E565+E566+E567+E572+E568+E569+E570+E571</f>
        <v>171650.7</v>
      </c>
      <c r="F564" s="37">
        <f t="shared" ref="F564:G564" si="307">F565+F566+F567+F572+F568+F569+F570+F571</f>
        <v>91807.800000000017</v>
      </c>
      <c r="G564" s="37">
        <f t="shared" si="307"/>
        <v>92733.900000000023</v>
      </c>
      <c r="H564" s="21"/>
    </row>
    <row r="565" spans="1:8" ht="39.6" x14ac:dyDescent="0.25">
      <c r="A565" s="32" t="s">
        <v>183</v>
      </c>
      <c r="B565" s="38" t="s">
        <v>182</v>
      </c>
      <c r="C565" s="38" t="s">
        <v>4</v>
      </c>
      <c r="D565" s="38" t="s">
        <v>184</v>
      </c>
      <c r="E565" s="41">
        <f>2177.8</f>
        <v>2177.8000000000002</v>
      </c>
      <c r="F565" s="41">
        <f>916.5</f>
        <v>916.5</v>
      </c>
      <c r="G565" s="41">
        <f>916.5</f>
        <v>916.5</v>
      </c>
      <c r="H565" s="21"/>
    </row>
    <row r="566" spans="1:8" ht="39" customHeight="1" x14ac:dyDescent="0.25">
      <c r="A566" s="32" t="s">
        <v>185</v>
      </c>
      <c r="B566" s="38" t="s">
        <v>182</v>
      </c>
      <c r="C566" s="38" t="s">
        <v>4</v>
      </c>
      <c r="D566" s="38" t="s">
        <v>186</v>
      </c>
      <c r="E566" s="41">
        <f>92424.3</f>
        <v>92424.3</v>
      </c>
      <c r="F566" s="41">
        <f>42517.2+9000</f>
        <v>51517.2</v>
      </c>
      <c r="G566" s="41">
        <f>42973.2+10000</f>
        <v>52973.2</v>
      </c>
      <c r="H566" s="21"/>
    </row>
    <row r="567" spans="1:8" ht="26.4" x14ac:dyDescent="0.25">
      <c r="A567" s="32" t="s">
        <v>187</v>
      </c>
      <c r="B567" s="38" t="s">
        <v>182</v>
      </c>
      <c r="C567" s="38" t="s">
        <v>4</v>
      </c>
      <c r="D567" s="38" t="s">
        <v>188</v>
      </c>
      <c r="E567" s="41">
        <f>33991.6</f>
        <v>33991.599999999999</v>
      </c>
      <c r="F567" s="41">
        <f>14575.1</f>
        <v>14575.1</v>
      </c>
      <c r="G567" s="41">
        <f>14575.1</f>
        <v>14575.1</v>
      </c>
      <c r="H567" s="21"/>
    </row>
    <row r="568" spans="1:8" x14ac:dyDescent="0.25">
      <c r="A568" s="32" t="s">
        <v>151</v>
      </c>
      <c r="B568" s="38" t="s">
        <v>182</v>
      </c>
      <c r="C568" s="38" t="s">
        <v>4</v>
      </c>
      <c r="D568" s="38" t="s">
        <v>93</v>
      </c>
      <c r="E568" s="41">
        <f>19932.2</f>
        <v>19932.2</v>
      </c>
      <c r="F568" s="41">
        <v>7765.1</v>
      </c>
      <c r="G568" s="41">
        <v>7765.1</v>
      </c>
      <c r="H568" s="21"/>
    </row>
    <row r="569" spans="1:8" x14ac:dyDescent="0.25">
      <c r="A569" s="32" t="s">
        <v>150</v>
      </c>
      <c r="B569" s="38" t="s">
        <v>182</v>
      </c>
      <c r="C569" s="38" t="s">
        <v>4</v>
      </c>
      <c r="D569" s="38" t="s">
        <v>110</v>
      </c>
      <c r="E569" s="41">
        <v>4769</v>
      </c>
      <c r="F569" s="41">
        <v>2122.6999999999998</v>
      </c>
      <c r="G569" s="41">
        <v>2122.6999999999998</v>
      </c>
      <c r="H569" s="21"/>
    </row>
    <row r="570" spans="1:8" ht="13.5" customHeight="1" x14ac:dyDescent="0.25">
      <c r="A570" s="32" t="s">
        <v>160</v>
      </c>
      <c r="B570" s="38" t="s">
        <v>182</v>
      </c>
      <c r="C570" s="38" t="s">
        <v>4</v>
      </c>
      <c r="D570" s="38" t="s">
        <v>40</v>
      </c>
      <c r="E570" s="41">
        <v>9017.9</v>
      </c>
      <c r="F570" s="41">
        <v>7263.1</v>
      </c>
      <c r="G570" s="41">
        <v>7263.1</v>
      </c>
      <c r="H570" s="21"/>
    </row>
    <row r="571" spans="1:8" x14ac:dyDescent="0.25">
      <c r="A571" s="32" t="s">
        <v>165</v>
      </c>
      <c r="B571" s="38" t="s">
        <v>182</v>
      </c>
      <c r="C571" s="38" t="s">
        <v>4</v>
      </c>
      <c r="D571" s="38" t="s">
        <v>62</v>
      </c>
      <c r="E571" s="41">
        <f>5296.3</f>
        <v>5296.3</v>
      </c>
      <c r="F571" s="41">
        <v>4138.5</v>
      </c>
      <c r="G571" s="41">
        <v>3608.6</v>
      </c>
      <c r="H571" s="21"/>
    </row>
    <row r="572" spans="1:8" x14ac:dyDescent="0.25">
      <c r="A572" s="10" t="s">
        <v>189</v>
      </c>
      <c r="B572" s="38" t="s">
        <v>182</v>
      </c>
      <c r="C572" s="38" t="s">
        <v>4</v>
      </c>
      <c r="D572" s="38" t="s">
        <v>190</v>
      </c>
      <c r="E572" s="41">
        <f>4041.6</f>
        <v>4041.6</v>
      </c>
      <c r="F572" s="41">
        <f>3509.6</f>
        <v>3509.6</v>
      </c>
      <c r="G572" s="41">
        <f>3509.6</f>
        <v>3509.6</v>
      </c>
      <c r="H572" s="21"/>
    </row>
    <row r="573" spans="1:8" ht="26.4" x14ac:dyDescent="0.25">
      <c r="A573" s="32" t="s">
        <v>118</v>
      </c>
      <c r="B573" s="38" t="s">
        <v>182</v>
      </c>
      <c r="C573" s="38" t="s">
        <v>0</v>
      </c>
      <c r="D573" s="38"/>
      <c r="E573" s="41">
        <f>E574+E575+E576+E577+E578+E579</f>
        <v>7736.9999999999991</v>
      </c>
      <c r="F573" s="41">
        <f t="shared" ref="F573:G573" si="308">F574+F575+F576+F577+F578+F579</f>
        <v>5489.3</v>
      </c>
      <c r="G573" s="41">
        <f t="shared" si="308"/>
        <v>5489.3</v>
      </c>
      <c r="H573" s="21"/>
    </row>
    <row r="574" spans="1:8" ht="39.6" x14ac:dyDescent="0.25">
      <c r="A574" s="32" t="s">
        <v>183</v>
      </c>
      <c r="B574" s="38" t="s">
        <v>182</v>
      </c>
      <c r="C574" s="38" t="s">
        <v>0</v>
      </c>
      <c r="D574" s="38" t="s">
        <v>184</v>
      </c>
      <c r="E574" s="41">
        <v>41.7</v>
      </c>
      <c r="F574" s="41">
        <v>41.7</v>
      </c>
      <c r="G574" s="41">
        <v>41.7</v>
      </c>
      <c r="H574" s="21"/>
    </row>
    <row r="575" spans="1:8" ht="39.6" x14ac:dyDescent="0.25">
      <c r="A575" s="32" t="s">
        <v>185</v>
      </c>
      <c r="B575" s="38" t="s">
        <v>182</v>
      </c>
      <c r="C575" s="38" t="s">
        <v>0</v>
      </c>
      <c r="D575" s="38" t="s">
        <v>186</v>
      </c>
      <c r="E575" s="41">
        <f>2260.2</f>
        <v>2260.1999999999998</v>
      </c>
      <c r="F575" s="41">
        <f>1913.2</f>
        <v>1913.2</v>
      </c>
      <c r="G575" s="41">
        <f>1913.2</f>
        <v>1913.2</v>
      </c>
      <c r="H575" s="21"/>
    </row>
    <row r="576" spans="1:8" ht="26.4" x14ac:dyDescent="0.25">
      <c r="A576" s="32" t="s">
        <v>187</v>
      </c>
      <c r="B576" s="38" t="s">
        <v>182</v>
      </c>
      <c r="C576" s="38" t="s">
        <v>0</v>
      </c>
      <c r="D576" s="38" t="s">
        <v>188</v>
      </c>
      <c r="E576" s="41">
        <f>3697.8</f>
        <v>3697.8</v>
      </c>
      <c r="F576" s="41">
        <f>2712.8</f>
        <v>2712.8</v>
      </c>
      <c r="G576" s="41">
        <f>2712.8</f>
        <v>2712.8</v>
      </c>
      <c r="H576" s="21"/>
    </row>
    <row r="577" spans="1:8" ht="18" customHeight="1" x14ac:dyDescent="0.25">
      <c r="A577" s="10" t="s">
        <v>151</v>
      </c>
      <c r="B577" s="38" t="s">
        <v>182</v>
      </c>
      <c r="C577" s="38" t="s">
        <v>0</v>
      </c>
      <c r="D577" s="38" t="s">
        <v>93</v>
      </c>
      <c r="E577" s="41">
        <f>1548</f>
        <v>1548</v>
      </c>
      <c r="F577" s="41">
        <f>727.2</f>
        <v>727.2</v>
      </c>
      <c r="G577" s="41">
        <f>727.2</f>
        <v>727.2</v>
      </c>
      <c r="H577" s="21"/>
    </row>
    <row r="578" spans="1:8" ht="26.4" customHeight="1" x14ac:dyDescent="0.25">
      <c r="A578" s="32" t="s">
        <v>226</v>
      </c>
      <c r="B578" s="38" t="s">
        <v>182</v>
      </c>
      <c r="C578" s="38" t="s">
        <v>0</v>
      </c>
      <c r="D578" s="38" t="s">
        <v>227</v>
      </c>
      <c r="E578" s="41">
        <f>111.4</f>
        <v>111.4</v>
      </c>
      <c r="F578" s="41">
        <v>94.4</v>
      </c>
      <c r="G578" s="41">
        <v>94.4</v>
      </c>
      <c r="H578" s="21"/>
    </row>
    <row r="579" spans="1:8" ht="15.6" customHeight="1" x14ac:dyDescent="0.25">
      <c r="A579" s="32" t="s">
        <v>165</v>
      </c>
      <c r="B579" s="38" t="s">
        <v>182</v>
      </c>
      <c r="C579" s="38" t="s">
        <v>0</v>
      </c>
      <c r="D579" s="38" t="s">
        <v>62</v>
      </c>
      <c r="E579" s="41">
        <f>77.9</f>
        <v>77.900000000000006</v>
      </c>
      <c r="F579" s="41">
        <f>0</f>
        <v>0</v>
      </c>
      <c r="G579" s="41">
        <f>0</f>
        <v>0</v>
      </c>
      <c r="H579" s="21"/>
    </row>
    <row r="580" spans="1:8" ht="13.95" customHeight="1" x14ac:dyDescent="0.25">
      <c r="A580" s="10" t="s">
        <v>152</v>
      </c>
      <c r="B580" s="38" t="s">
        <v>182</v>
      </c>
      <c r="C580" s="38" t="s">
        <v>1</v>
      </c>
      <c r="D580" s="38"/>
      <c r="E580" s="41">
        <f>E581+E582+E583</f>
        <v>0.79999999999999993</v>
      </c>
      <c r="F580" s="41">
        <f t="shared" ref="F580:G580" si="309">F581+F582+F583</f>
        <v>0.5</v>
      </c>
      <c r="G580" s="41">
        <f t="shared" si="309"/>
        <v>0.5</v>
      </c>
      <c r="H580" s="21"/>
    </row>
    <row r="581" spans="1:8" ht="39.6" x14ac:dyDescent="0.25">
      <c r="A581" s="32" t="s">
        <v>185</v>
      </c>
      <c r="B581" s="38" t="s">
        <v>182</v>
      </c>
      <c r="C581" s="38" t="s">
        <v>1</v>
      </c>
      <c r="D581" s="38" t="s">
        <v>186</v>
      </c>
      <c r="E581" s="41">
        <v>0.5</v>
      </c>
      <c r="F581" s="41">
        <v>0.5</v>
      </c>
      <c r="G581" s="41">
        <v>0.5</v>
      </c>
      <c r="H581" s="21"/>
    </row>
    <row r="582" spans="1:8" ht="14.4" customHeight="1" x14ac:dyDescent="0.25">
      <c r="A582" s="32" t="s">
        <v>160</v>
      </c>
      <c r="B582" s="38" t="s">
        <v>182</v>
      </c>
      <c r="C582" s="38" t="s">
        <v>1</v>
      </c>
      <c r="D582" s="38" t="s">
        <v>40</v>
      </c>
      <c r="E582" s="41">
        <f>0.1</f>
        <v>0.1</v>
      </c>
      <c r="F582" s="41">
        <f>0</f>
        <v>0</v>
      </c>
      <c r="G582" s="41">
        <f>0</f>
        <v>0</v>
      </c>
      <c r="H582" s="21"/>
    </row>
    <row r="583" spans="1:8" ht="14.4" customHeight="1" x14ac:dyDescent="0.25">
      <c r="A583" s="32" t="s">
        <v>160</v>
      </c>
      <c r="B583" s="38" t="s">
        <v>182</v>
      </c>
      <c r="C583" s="38" t="s">
        <v>1</v>
      </c>
      <c r="D583" s="38" t="s">
        <v>62</v>
      </c>
      <c r="E583" s="41">
        <f>0.3-0.1</f>
        <v>0.19999999999999998</v>
      </c>
      <c r="F583" s="41">
        <f>0</f>
        <v>0</v>
      </c>
      <c r="G583" s="41">
        <f>0</f>
        <v>0</v>
      </c>
      <c r="H583" s="21"/>
    </row>
    <row r="584" spans="1:8" ht="14.4" customHeight="1" x14ac:dyDescent="0.25">
      <c r="A584" s="32" t="s">
        <v>351</v>
      </c>
      <c r="B584" s="38" t="s">
        <v>344</v>
      </c>
      <c r="C584" s="38"/>
      <c r="D584" s="38"/>
      <c r="E584" s="41">
        <f>E585</f>
        <v>1532.8</v>
      </c>
      <c r="F584" s="41">
        <f t="shared" ref="F584:G585" si="310">F585</f>
        <v>1336.7</v>
      </c>
      <c r="G584" s="41">
        <f t="shared" si="310"/>
        <v>1336.7</v>
      </c>
      <c r="H584" s="21"/>
    </row>
    <row r="585" spans="1:8" ht="52.8" x14ac:dyDescent="0.25">
      <c r="A585" s="32" t="s">
        <v>117</v>
      </c>
      <c r="B585" s="38" t="s">
        <v>344</v>
      </c>
      <c r="C585" s="38" t="s">
        <v>4</v>
      </c>
      <c r="D585" s="38"/>
      <c r="E585" s="41">
        <f>E586</f>
        <v>1532.8</v>
      </c>
      <c r="F585" s="41">
        <f t="shared" si="310"/>
        <v>1336.7</v>
      </c>
      <c r="G585" s="41">
        <f t="shared" si="310"/>
        <v>1336.7</v>
      </c>
      <c r="H585" s="21"/>
    </row>
    <row r="586" spans="1:8" ht="40.950000000000003" customHeight="1" x14ac:dyDescent="0.25">
      <c r="A586" s="32" t="s">
        <v>183</v>
      </c>
      <c r="B586" s="38" t="s">
        <v>344</v>
      </c>
      <c r="C586" s="38" t="s">
        <v>4</v>
      </c>
      <c r="D586" s="38" t="s">
        <v>184</v>
      </c>
      <c r="E586" s="41">
        <f>1532.8</f>
        <v>1532.8</v>
      </c>
      <c r="F586" s="41">
        <f>1336.7</f>
        <v>1336.7</v>
      </c>
      <c r="G586" s="41">
        <f>1336.7</f>
        <v>1336.7</v>
      </c>
      <c r="H586" s="21"/>
    </row>
    <row r="587" spans="1:8" ht="26.4" x14ac:dyDescent="0.25">
      <c r="A587" s="42" t="s">
        <v>191</v>
      </c>
      <c r="B587" s="38" t="s">
        <v>192</v>
      </c>
      <c r="C587" s="38"/>
      <c r="D587" s="38"/>
      <c r="E587" s="41">
        <f>E588</f>
        <v>2250.5</v>
      </c>
      <c r="F587" s="41">
        <f t="shared" ref="F587:G588" si="311">F588</f>
        <v>1194.7</v>
      </c>
      <c r="G587" s="41">
        <f t="shared" si="311"/>
        <v>1194.7</v>
      </c>
      <c r="H587" s="21"/>
    </row>
    <row r="588" spans="1:8" ht="52.8" x14ac:dyDescent="0.25">
      <c r="A588" s="42" t="s">
        <v>117</v>
      </c>
      <c r="B588" s="38" t="s">
        <v>192</v>
      </c>
      <c r="C588" s="38" t="s">
        <v>4</v>
      </c>
      <c r="D588" s="38"/>
      <c r="E588" s="41">
        <f>E589</f>
        <v>2250.5</v>
      </c>
      <c r="F588" s="41">
        <f t="shared" si="311"/>
        <v>1194.7</v>
      </c>
      <c r="G588" s="41">
        <f t="shared" si="311"/>
        <v>1194.7</v>
      </c>
      <c r="H588" s="21"/>
    </row>
    <row r="589" spans="1:8" ht="26.4" x14ac:dyDescent="0.25">
      <c r="A589" s="42" t="s">
        <v>187</v>
      </c>
      <c r="B589" s="38" t="s">
        <v>192</v>
      </c>
      <c r="C589" s="38" t="s">
        <v>4</v>
      </c>
      <c r="D589" s="38" t="s">
        <v>188</v>
      </c>
      <c r="E589" s="41">
        <f>2250.5</f>
        <v>2250.5</v>
      </c>
      <c r="F589" s="41">
        <f>1194.7</f>
        <v>1194.7</v>
      </c>
      <c r="G589" s="41">
        <f>1194.7</f>
        <v>1194.7</v>
      </c>
      <c r="H589" s="21"/>
    </row>
    <row r="590" spans="1:8" ht="15" customHeight="1" x14ac:dyDescent="0.25">
      <c r="A590" s="42" t="s">
        <v>193</v>
      </c>
      <c r="B590" s="38" t="s">
        <v>194</v>
      </c>
      <c r="C590" s="38"/>
      <c r="D590" s="38"/>
      <c r="E590" s="41">
        <f>E591+E593+E597+E595</f>
        <v>6018.2</v>
      </c>
      <c r="F590" s="41">
        <f t="shared" ref="F590:G590" si="312">F591+F593+F597+F595</f>
        <v>1700.4</v>
      </c>
      <c r="G590" s="41">
        <f t="shared" si="312"/>
        <v>1700.4</v>
      </c>
      <c r="H590" s="21"/>
    </row>
    <row r="591" spans="1:8" ht="52.8" x14ac:dyDescent="0.25">
      <c r="A591" s="42" t="s">
        <v>117</v>
      </c>
      <c r="B591" s="38" t="s">
        <v>194</v>
      </c>
      <c r="C591" s="38" t="s">
        <v>4</v>
      </c>
      <c r="D591" s="38"/>
      <c r="E591" s="41">
        <f>E592</f>
        <v>3349.4</v>
      </c>
      <c r="F591" s="41">
        <f t="shared" ref="F591:G591" si="313">F592</f>
        <v>1261.5</v>
      </c>
      <c r="G591" s="41">
        <f t="shared" si="313"/>
        <v>1261.5</v>
      </c>
      <c r="H591" s="21"/>
    </row>
    <row r="592" spans="1:8" ht="16.2" customHeight="1" x14ac:dyDescent="0.25">
      <c r="A592" s="10" t="s">
        <v>151</v>
      </c>
      <c r="B592" s="38" t="s">
        <v>194</v>
      </c>
      <c r="C592" s="38" t="s">
        <v>4</v>
      </c>
      <c r="D592" s="38" t="s">
        <v>93</v>
      </c>
      <c r="E592" s="41">
        <v>3349.4</v>
      </c>
      <c r="F592" s="41">
        <f>1261.5</f>
        <v>1261.5</v>
      </c>
      <c r="G592" s="41">
        <f>1261.5</f>
        <v>1261.5</v>
      </c>
      <c r="H592" s="21"/>
    </row>
    <row r="593" spans="1:8" ht="31.2" customHeight="1" x14ac:dyDescent="0.25">
      <c r="A593" s="32" t="s">
        <v>118</v>
      </c>
      <c r="B593" s="38" t="s">
        <v>194</v>
      </c>
      <c r="C593" s="38" t="s">
        <v>0</v>
      </c>
      <c r="D593" s="38"/>
      <c r="E593" s="41">
        <f>E594</f>
        <v>588.79999999999995</v>
      </c>
      <c r="F593" s="41">
        <f t="shared" ref="F593:G593" si="314">F594</f>
        <v>138.9</v>
      </c>
      <c r="G593" s="41">
        <f t="shared" si="314"/>
        <v>138.9</v>
      </c>
      <c r="H593" s="21"/>
    </row>
    <row r="594" spans="1:8" ht="17.399999999999999" customHeight="1" x14ac:dyDescent="0.25">
      <c r="A594" s="10" t="s">
        <v>151</v>
      </c>
      <c r="B594" s="38" t="s">
        <v>194</v>
      </c>
      <c r="C594" s="38" t="s">
        <v>0</v>
      </c>
      <c r="D594" s="38" t="s">
        <v>93</v>
      </c>
      <c r="E594" s="41">
        <f>588.8</f>
        <v>588.79999999999995</v>
      </c>
      <c r="F594" s="41">
        <f>138.9</f>
        <v>138.9</v>
      </c>
      <c r="G594" s="41">
        <f>138.9</f>
        <v>138.9</v>
      </c>
      <c r="H594" s="21"/>
    </row>
    <row r="595" spans="1:8" ht="30" customHeight="1" x14ac:dyDescent="0.25">
      <c r="A595" s="32" t="s">
        <v>158</v>
      </c>
      <c r="B595" s="38" t="s">
        <v>194</v>
      </c>
      <c r="C595" s="38" t="s">
        <v>3</v>
      </c>
      <c r="D595" s="38"/>
      <c r="E595" s="41">
        <f>E596</f>
        <v>1500</v>
      </c>
      <c r="F595" s="41">
        <f t="shared" ref="F595:G595" si="315">F596</f>
        <v>0</v>
      </c>
      <c r="G595" s="41">
        <f t="shared" si="315"/>
        <v>0</v>
      </c>
      <c r="H595" s="21"/>
    </row>
    <row r="596" spans="1:8" ht="16.2" customHeight="1" x14ac:dyDescent="0.25">
      <c r="A596" s="10" t="s">
        <v>151</v>
      </c>
      <c r="B596" s="38" t="s">
        <v>194</v>
      </c>
      <c r="C596" s="38" t="s">
        <v>3</v>
      </c>
      <c r="D596" s="38" t="s">
        <v>93</v>
      </c>
      <c r="E596" s="41">
        <f>1500</f>
        <v>1500</v>
      </c>
      <c r="F596" s="41">
        <f>0</f>
        <v>0</v>
      </c>
      <c r="G596" s="41">
        <f>0</f>
        <v>0</v>
      </c>
      <c r="H596" s="21"/>
    </row>
    <row r="597" spans="1:8" ht="16.2" customHeight="1" x14ac:dyDescent="0.25">
      <c r="A597" s="10" t="s">
        <v>152</v>
      </c>
      <c r="B597" s="38" t="s">
        <v>194</v>
      </c>
      <c r="C597" s="38" t="s">
        <v>1</v>
      </c>
      <c r="D597" s="38"/>
      <c r="E597" s="41">
        <f>E598</f>
        <v>580</v>
      </c>
      <c r="F597" s="41">
        <f t="shared" ref="F597:G597" si="316">F598</f>
        <v>300</v>
      </c>
      <c r="G597" s="41">
        <f t="shared" si="316"/>
        <v>300</v>
      </c>
      <c r="H597" s="21"/>
    </row>
    <row r="598" spans="1:8" ht="16.2" customHeight="1" x14ac:dyDescent="0.25">
      <c r="A598" s="10" t="s">
        <v>151</v>
      </c>
      <c r="B598" s="38" t="s">
        <v>194</v>
      </c>
      <c r="C598" s="38" t="s">
        <v>1</v>
      </c>
      <c r="D598" s="38" t="s">
        <v>93</v>
      </c>
      <c r="E598" s="41">
        <f>580</f>
        <v>580</v>
      </c>
      <c r="F598" s="41">
        <f>300</f>
        <v>300</v>
      </c>
      <c r="G598" s="41">
        <f>300</f>
        <v>300</v>
      </c>
      <c r="H598" s="21"/>
    </row>
    <row r="599" spans="1:8" ht="16.2" customHeight="1" x14ac:dyDescent="0.25">
      <c r="A599" s="32" t="s">
        <v>347</v>
      </c>
      <c r="B599" s="38" t="s">
        <v>346</v>
      </c>
      <c r="C599" s="38"/>
      <c r="D599" s="38"/>
      <c r="E599" s="41">
        <f>E600</f>
        <v>9410.5</v>
      </c>
      <c r="F599" s="41">
        <f t="shared" ref="F599:G599" si="317">F600</f>
        <v>3513.3</v>
      </c>
      <c r="G599" s="41">
        <f t="shared" si="317"/>
        <v>3513.3</v>
      </c>
      <c r="H599" s="21"/>
    </row>
    <row r="600" spans="1:8" ht="30" customHeight="1" x14ac:dyDescent="0.25">
      <c r="A600" s="32" t="s">
        <v>348</v>
      </c>
      <c r="B600" s="38" t="s">
        <v>345</v>
      </c>
      <c r="C600" s="38"/>
      <c r="D600" s="38"/>
      <c r="E600" s="41">
        <f>E601+E603</f>
        <v>9410.5</v>
      </c>
      <c r="F600" s="41">
        <f t="shared" ref="F600:G600" si="318">F601+F603</f>
        <v>3513.3</v>
      </c>
      <c r="G600" s="41">
        <f t="shared" si="318"/>
        <v>3513.3</v>
      </c>
      <c r="H600" s="21"/>
    </row>
    <row r="601" spans="1:8" ht="53.4" customHeight="1" x14ac:dyDescent="0.25">
      <c r="A601" s="42" t="s">
        <v>117</v>
      </c>
      <c r="B601" s="38" t="s">
        <v>345</v>
      </c>
      <c r="C601" s="38" t="s">
        <v>4</v>
      </c>
      <c r="D601" s="38"/>
      <c r="E601" s="41">
        <f>E602</f>
        <v>8590.7000000000007</v>
      </c>
      <c r="F601" s="41">
        <f t="shared" ref="F601:G601" si="319">F602</f>
        <v>3367.9</v>
      </c>
      <c r="G601" s="41">
        <f t="shared" si="319"/>
        <v>3367.9</v>
      </c>
      <c r="H601" s="21"/>
    </row>
    <row r="602" spans="1:8" ht="27" customHeight="1" x14ac:dyDescent="0.25">
      <c r="A602" s="42" t="s">
        <v>354</v>
      </c>
      <c r="B602" s="38" t="s">
        <v>345</v>
      </c>
      <c r="C602" s="38" t="s">
        <v>4</v>
      </c>
      <c r="D602" s="38" t="s">
        <v>300</v>
      </c>
      <c r="E602" s="41">
        <f>8590.7</f>
        <v>8590.7000000000007</v>
      </c>
      <c r="F602" s="41">
        <f>3367.9</f>
        <v>3367.9</v>
      </c>
      <c r="G602" s="41">
        <f>3367.9</f>
        <v>3367.9</v>
      </c>
      <c r="H602" s="21"/>
    </row>
    <row r="603" spans="1:8" ht="26.4" x14ac:dyDescent="0.25">
      <c r="A603" s="32" t="s">
        <v>118</v>
      </c>
      <c r="B603" s="38" t="s">
        <v>345</v>
      </c>
      <c r="C603" s="38" t="s">
        <v>0</v>
      </c>
      <c r="D603" s="38"/>
      <c r="E603" s="41">
        <f>E604+E605</f>
        <v>819.8</v>
      </c>
      <c r="F603" s="41">
        <f t="shared" ref="F603:G603" si="320">F604+F605</f>
        <v>145.39999999999998</v>
      </c>
      <c r="G603" s="41">
        <f t="shared" si="320"/>
        <v>145.39999999999998</v>
      </c>
      <c r="H603" s="21"/>
    </row>
    <row r="604" spans="1:8" ht="28.5" customHeight="1" x14ac:dyDescent="0.25">
      <c r="A604" s="42" t="s">
        <v>354</v>
      </c>
      <c r="B604" s="38" t="s">
        <v>345</v>
      </c>
      <c r="C604" s="38" t="s">
        <v>0</v>
      </c>
      <c r="D604" s="38" t="s">
        <v>300</v>
      </c>
      <c r="E604" s="41">
        <f>813.6-0.1</f>
        <v>813.5</v>
      </c>
      <c r="F604" s="41">
        <f>134.7</f>
        <v>134.69999999999999</v>
      </c>
      <c r="G604" s="41">
        <f>134.7</f>
        <v>134.69999999999999</v>
      </c>
      <c r="H604" s="21"/>
    </row>
    <row r="605" spans="1:8" ht="26.4" x14ac:dyDescent="0.25">
      <c r="A605" s="42" t="s">
        <v>226</v>
      </c>
      <c r="B605" s="38" t="s">
        <v>345</v>
      </c>
      <c r="C605" s="38" t="s">
        <v>0</v>
      </c>
      <c r="D605" s="38" t="s">
        <v>227</v>
      </c>
      <c r="E605" s="41">
        <f>6.3</f>
        <v>6.3</v>
      </c>
      <c r="F605" s="41">
        <f>10.7</f>
        <v>10.7</v>
      </c>
      <c r="G605" s="41">
        <f>10.7</f>
        <v>10.7</v>
      </c>
      <c r="H605" s="21"/>
    </row>
    <row r="606" spans="1:8" ht="15" customHeight="1" x14ac:dyDescent="0.25">
      <c r="A606" s="42" t="s">
        <v>440</v>
      </c>
      <c r="B606" s="38" t="s">
        <v>443</v>
      </c>
      <c r="C606" s="38"/>
      <c r="D606" s="38"/>
      <c r="E606" s="41">
        <f>E607</f>
        <v>1040.5</v>
      </c>
      <c r="F606" s="41">
        <f t="shared" ref="F606:G607" si="321">F607</f>
        <v>0</v>
      </c>
      <c r="G606" s="41">
        <f t="shared" si="321"/>
        <v>0</v>
      </c>
      <c r="H606" s="21"/>
    </row>
    <row r="607" spans="1:8" ht="18.75" customHeight="1" x14ac:dyDescent="0.25">
      <c r="A607" s="10" t="s">
        <v>152</v>
      </c>
      <c r="B607" s="38" t="s">
        <v>439</v>
      </c>
      <c r="C607" s="38" t="s">
        <v>1</v>
      </c>
      <c r="D607" s="38"/>
      <c r="E607" s="41">
        <f>E608</f>
        <v>1040.5</v>
      </c>
      <c r="F607" s="41">
        <f t="shared" si="321"/>
        <v>0</v>
      </c>
      <c r="G607" s="41">
        <f t="shared" si="321"/>
        <v>0</v>
      </c>
      <c r="H607" s="21"/>
    </row>
    <row r="608" spans="1:8" ht="15.75" customHeight="1" x14ac:dyDescent="0.25">
      <c r="A608" s="42" t="s">
        <v>442</v>
      </c>
      <c r="B608" s="38" t="s">
        <v>439</v>
      </c>
      <c r="C608" s="38" t="s">
        <v>1</v>
      </c>
      <c r="D608" s="38" t="s">
        <v>441</v>
      </c>
      <c r="E608" s="41">
        <f>1040.5</f>
        <v>1040.5</v>
      </c>
      <c r="F608" s="41">
        <f>0</f>
        <v>0</v>
      </c>
      <c r="G608" s="41">
        <f>0</f>
        <v>0</v>
      </c>
      <c r="H608" s="21"/>
    </row>
    <row r="609" spans="1:8" ht="29.25" customHeight="1" x14ac:dyDescent="0.25">
      <c r="A609" s="42" t="s">
        <v>195</v>
      </c>
      <c r="B609" s="38" t="s">
        <v>196</v>
      </c>
      <c r="C609" s="38"/>
      <c r="D609" s="38"/>
      <c r="E609" s="41">
        <f>E610+E613+E621</f>
        <v>41885.1</v>
      </c>
      <c r="F609" s="41">
        <f>F610+F613+F621</f>
        <v>15207.3</v>
      </c>
      <c r="G609" s="41">
        <f>G610+G613+G621</f>
        <v>20667.3</v>
      </c>
      <c r="H609" s="21"/>
    </row>
    <row r="610" spans="1:8" ht="27" customHeight="1" x14ac:dyDescent="0.25">
      <c r="A610" s="42" t="s">
        <v>197</v>
      </c>
      <c r="B610" s="38" t="s">
        <v>198</v>
      </c>
      <c r="C610" s="38"/>
      <c r="D610" s="38"/>
      <c r="E610" s="41">
        <f>E611</f>
        <v>2240</v>
      </c>
      <c r="F610" s="41">
        <f t="shared" ref="F610:G611" si="322">F611</f>
        <v>800</v>
      </c>
      <c r="G610" s="41">
        <f t="shared" si="322"/>
        <v>800</v>
      </c>
      <c r="H610" s="21"/>
    </row>
    <row r="611" spans="1:8" ht="26.4" x14ac:dyDescent="0.25">
      <c r="A611" s="42" t="s">
        <v>118</v>
      </c>
      <c r="B611" s="38" t="s">
        <v>198</v>
      </c>
      <c r="C611" s="38" t="s">
        <v>0</v>
      </c>
      <c r="D611" s="38"/>
      <c r="E611" s="41">
        <f>E612</f>
        <v>2240</v>
      </c>
      <c r="F611" s="41">
        <f t="shared" si="322"/>
        <v>800</v>
      </c>
      <c r="G611" s="41">
        <f t="shared" si="322"/>
        <v>800</v>
      </c>
    </row>
    <row r="612" spans="1:8" x14ac:dyDescent="0.25">
      <c r="A612" s="42" t="s">
        <v>151</v>
      </c>
      <c r="B612" s="38" t="s">
        <v>198</v>
      </c>
      <c r="C612" s="38" t="s">
        <v>0</v>
      </c>
      <c r="D612" s="38" t="s">
        <v>93</v>
      </c>
      <c r="E612" s="41">
        <f>2240</f>
        <v>2240</v>
      </c>
      <c r="F612" s="41">
        <f>800</f>
        <v>800</v>
      </c>
      <c r="G612" s="41">
        <f>800</f>
        <v>800</v>
      </c>
    </row>
    <row r="613" spans="1:8" ht="26.4" x14ac:dyDescent="0.25">
      <c r="A613" s="42" t="s">
        <v>199</v>
      </c>
      <c r="B613" s="38" t="s">
        <v>200</v>
      </c>
      <c r="C613" s="38"/>
      <c r="D613" s="38"/>
      <c r="E613" s="41">
        <f>E614</f>
        <v>9144.3000000000011</v>
      </c>
      <c r="F613" s="41">
        <f t="shared" ref="F613:G613" si="323">F614</f>
        <v>5619.0999999999995</v>
      </c>
      <c r="G613" s="41">
        <f t="shared" si="323"/>
        <v>5619.0999999999995</v>
      </c>
    </row>
    <row r="614" spans="1:8" x14ac:dyDescent="0.25">
      <c r="A614" s="42" t="s">
        <v>201</v>
      </c>
      <c r="B614" s="38" t="s">
        <v>202</v>
      </c>
      <c r="C614" s="38"/>
      <c r="D614" s="38"/>
      <c r="E614" s="41">
        <f>E615+E617+E619</f>
        <v>9144.3000000000011</v>
      </c>
      <c r="F614" s="41">
        <f t="shared" ref="F614:G614" si="324">F615+F617+F619</f>
        <v>5619.0999999999995</v>
      </c>
      <c r="G614" s="41">
        <f t="shared" si="324"/>
        <v>5619.0999999999995</v>
      </c>
    </row>
    <row r="615" spans="1:8" ht="26.4" x14ac:dyDescent="0.25">
      <c r="A615" s="42" t="s">
        <v>118</v>
      </c>
      <c r="B615" s="38" t="s">
        <v>202</v>
      </c>
      <c r="C615" s="38" t="s">
        <v>0</v>
      </c>
      <c r="D615" s="38"/>
      <c r="E615" s="41">
        <f>E616</f>
        <v>7230.1</v>
      </c>
      <c r="F615" s="41">
        <f t="shared" ref="F615:G615" si="325">F616</f>
        <v>4511.3999999999996</v>
      </c>
      <c r="G615" s="41">
        <f t="shared" si="325"/>
        <v>4511.3999999999996</v>
      </c>
    </row>
    <row r="616" spans="1:8" ht="13.95" customHeight="1" x14ac:dyDescent="0.25">
      <c r="A616" s="42" t="s">
        <v>151</v>
      </c>
      <c r="B616" s="38" t="s">
        <v>202</v>
      </c>
      <c r="C616" s="38" t="s">
        <v>0</v>
      </c>
      <c r="D616" s="38" t="s">
        <v>93</v>
      </c>
      <c r="E616" s="41">
        <f>7230.1</f>
        <v>7230.1</v>
      </c>
      <c r="F616" s="41">
        <f>4511.4</f>
        <v>4511.3999999999996</v>
      </c>
      <c r="G616" s="41">
        <f>4511.4</f>
        <v>4511.3999999999996</v>
      </c>
    </row>
    <row r="617" spans="1:8" ht="13.95" customHeight="1" x14ac:dyDescent="0.25">
      <c r="A617" s="42" t="s">
        <v>119</v>
      </c>
      <c r="B617" s="38" t="s">
        <v>202</v>
      </c>
      <c r="C617" s="38" t="s">
        <v>2</v>
      </c>
      <c r="D617" s="38"/>
      <c r="E617" s="41">
        <f>E618</f>
        <v>1450</v>
      </c>
      <c r="F617" s="41">
        <f t="shared" ref="F617:G617" si="326">F618</f>
        <v>500</v>
      </c>
      <c r="G617" s="41">
        <f t="shared" si="326"/>
        <v>500</v>
      </c>
    </row>
    <row r="618" spans="1:8" ht="13.95" customHeight="1" x14ac:dyDescent="0.25">
      <c r="A618" s="42" t="s">
        <v>151</v>
      </c>
      <c r="B618" s="38" t="s">
        <v>202</v>
      </c>
      <c r="C618" s="38" t="s">
        <v>2</v>
      </c>
      <c r="D618" s="38" t="s">
        <v>93</v>
      </c>
      <c r="E618" s="41">
        <f>1450</f>
        <v>1450</v>
      </c>
      <c r="F618" s="41">
        <f>500</f>
        <v>500</v>
      </c>
      <c r="G618" s="41">
        <f>500</f>
        <v>500</v>
      </c>
    </row>
    <row r="619" spans="1:8" ht="13.95" customHeight="1" x14ac:dyDescent="0.25">
      <c r="A619" s="43" t="s">
        <v>152</v>
      </c>
      <c r="B619" s="44" t="s">
        <v>202</v>
      </c>
      <c r="C619" s="44" t="s">
        <v>1</v>
      </c>
      <c r="D619" s="44"/>
      <c r="E619" s="45">
        <f>E620</f>
        <v>464.2</v>
      </c>
      <c r="F619" s="45">
        <f t="shared" ref="F619:G619" si="327">F620</f>
        <v>607.70000000000005</v>
      </c>
      <c r="G619" s="45">
        <f t="shared" si="327"/>
        <v>607.70000000000005</v>
      </c>
    </row>
    <row r="620" spans="1:8" ht="13.95" customHeight="1" x14ac:dyDescent="0.25">
      <c r="A620" s="46" t="s">
        <v>151</v>
      </c>
      <c r="B620" s="44" t="s">
        <v>202</v>
      </c>
      <c r="C620" s="44" t="s">
        <v>1</v>
      </c>
      <c r="D620" s="44" t="s">
        <v>93</v>
      </c>
      <c r="E620" s="45">
        <f>464.2</f>
        <v>464.2</v>
      </c>
      <c r="F620" s="45">
        <v>607.70000000000005</v>
      </c>
      <c r="G620" s="45">
        <v>607.70000000000005</v>
      </c>
    </row>
    <row r="621" spans="1:8" ht="13.95" customHeight="1" x14ac:dyDescent="0.25">
      <c r="A621" s="42" t="s">
        <v>203</v>
      </c>
      <c r="B621" s="38" t="s">
        <v>204</v>
      </c>
      <c r="C621" s="38"/>
      <c r="D621" s="38"/>
      <c r="E621" s="41">
        <f>E622</f>
        <v>30500.799999999999</v>
      </c>
      <c r="F621" s="41">
        <f t="shared" ref="F621:G621" si="328">F622</f>
        <v>8788.2000000000007</v>
      </c>
      <c r="G621" s="41">
        <f t="shared" si="328"/>
        <v>14248.199999999999</v>
      </c>
    </row>
    <row r="622" spans="1:8" ht="13.95" customHeight="1" x14ac:dyDescent="0.25">
      <c r="A622" s="42" t="s">
        <v>193</v>
      </c>
      <c r="B622" s="38" t="s">
        <v>205</v>
      </c>
      <c r="C622" s="38"/>
      <c r="D622" s="38"/>
      <c r="E622" s="41">
        <f>E623+E625+E627</f>
        <v>30500.799999999999</v>
      </c>
      <c r="F622" s="41">
        <f>F623+F625+F627</f>
        <v>8788.2000000000007</v>
      </c>
      <c r="G622" s="41">
        <f>G623+G625+G627</f>
        <v>14248.199999999999</v>
      </c>
    </row>
    <row r="623" spans="1:8" ht="55.95" customHeight="1" x14ac:dyDescent="0.25">
      <c r="A623" s="42" t="s">
        <v>117</v>
      </c>
      <c r="B623" s="38" t="s">
        <v>205</v>
      </c>
      <c r="C623" s="38" t="s">
        <v>4</v>
      </c>
      <c r="D623" s="38"/>
      <c r="E623" s="41">
        <f>E624</f>
        <v>22039.9</v>
      </c>
      <c r="F623" s="41">
        <f t="shared" ref="F623:G623" si="329">F624</f>
        <v>3687.3</v>
      </c>
      <c r="G623" s="41">
        <f t="shared" si="329"/>
        <v>9147.2999999999993</v>
      </c>
    </row>
    <row r="624" spans="1:8" ht="14.25" customHeight="1" x14ac:dyDescent="0.25">
      <c r="A624" s="10" t="s">
        <v>151</v>
      </c>
      <c r="B624" s="38" t="s">
        <v>205</v>
      </c>
      <c r="C624" s="38" t="s">
        <v>4</v>
      </c>
      <c r="D624" s="38" t="s">
        <v>93</v>
      </c>
      <c r="E624" s="41">
        <f>22039.9</f>
        <v>22039.9</v>
      </c>
      <c r="F624" s="41">
        <f>3687.3</f>
        <v>3687.3</v>
      </c>
      <c r="G624" s="41">
        <f>9147.3</f>
        <v>9147.2999999999993</v>
      </c>
    </row>
    <row r="625" spans="1:7" ht="26.4" x14ac:dyDescent="0.25">
      <c r="A625" s="42" t="s">
        <v>118</v>
      </c>
      <c r="B625" s="38" t="s">
        <v>205</v>
      </c>
      <c r="C625" s="38" t="s">
        <v>0</v>
      </c>
      <c r="D625" s="38"/>
      <c r="E625" s="41">
        <f>E626</f>
        <v>8424.1999999999989</v>
      </c>
      <c r="F625" s="41">
        <f t="shared" ref="F625:G625" si="330">F626</f>
        <v>5082.8999999999996</v>
      </c>
      <c r="G625" s="41">
        <f t="shared" si="330"/>
        <v>5082.8999999999996</v>
      </c>
    </row>
    <row r="626" spans="1:7" x14ac:dyDescent="0.25">
      <c r="A626" s="42" t="s">
        <v>151</v>
      </c>
      <c r="B626" s="38" t="s">
        <v>205</v>
      </c>
      <c r="C626" s="38" t="s">
        <v>0</v>
      </c>
      <c r="D626" s="38" t="s">
        <v>93</v>
      </c>
      <c r="E626" s="41">
        <f>8424.3-0.1</f>
        <v>8424.1999999999989</v>
      </c>
      <c r="F626" s="41">
        <v>5082.8999999999996</v>
      </c>
      <c r="G626" s="41">
        <v>5082.8999999999996</v>
      </c>
    </row>
    <row r="627" spans="1:7" x14ac:dyDescent="0.25">
      <c r="A627" s="10" t="s">
        <v>152</v>
      </c>
      <c r="B627" s="38" t="s">
        <v>205</v>
      </c>
      <c r="C627" s="38" t="s">
        <v>1</v>
      </c>
      <c r="D627" s="38"/>
      <c r="E627" s="41">
        <f>E628</f>
        <v>36.700000000000003</v>
      </c>
      <c r="F627" s="41">
        <f t="shared" ref="F627:G627" si="331">F628</f>
        <v>18</v>
      </c>
      <c r="G627" s="41">
        <f t="shared" si="331"/>
        <v>18</v>
      </c>
    </row>
    <row r="628" spans="1:7" x14ac:dyDescent="0.25">
      <c r="A628" s="10" t="s">
        <v>151</v>
      </c>
      <c r="B628" s="38" t="s">
        <v>205</v>
      </c>
      <c r="C628" s="38" t="s">
        <v>1</v>
      </c>
      <c r="D628" s="38" t="s">
        <v>93</v>
      </c>
      <c r="E628" s="41">
        <f>36.7</f>
        <v>36.700000000000003</v>
      </c>
      <c r="F628" s="41">
        <f>18</f>
        <v>18</v>
      </c>
      <c r="G628" s="41">
        <f>18</f>
        <v>18</v>
      </c>
    </row>
    <row r="629" spans="1:7" x14ac:dyDescent="0.25">
      <c r="A629" s="42" t="s">
        <v>206</v>
      </c>
      <c r="B629" s="38" t="s">
        <v>207</v>
      </c>
      <c r="C629" s="38"/>
      <c r="D629" s="38"/>
      <c r="E629" s="41">
        <f>E630</f>
        <v>32260.9</v>
      </c>
      <c r="F629" s="41">
        <f t="shared" ref="F629:G631" si="332">F630</f>
        <v>33647.9</v>
      </c>
      <c r="G629" s="41">
        <f t="shared" si="332"/>
        <v>35094.699999999997</v>
      </c>
    </row>
    <row r="630" spans="1:7" x14ac:dyDescent="0.25">
      <c r="A630" s="42" t="s">
        <v>208</v>
      </c>
      <c r="B630" s="38" t="s">
        <v>209</v>
      </c>
      <c r="C630" s="38"/>
      <c r="D630" s="38"/>
      <c r="E630" s="41">
        <f>E631</f>
        <v>32260.9</v>
      </c>
      <c r="F630" s="41">
        <f t="shared" si="332"/>
        <v>33647.9</v>
      </c>
      <c r="G630" s="41">
        <f t="shared" si="332"/>
        <v>35094.699999999997</v>
      </c>
    </row>
    <row r="631" spans="1:7" x14ac:dyDescent="0.25">
      <c r="A631" s="10" t="s">
        <v>152</v>
      </c>
      <c r="B631" s="38" t="s">
        <v>209</v>
      </c>
      <c r="C631" s="38" t="s">
        <v>1</v>
      </c>
      <c r="D631" s="38"/>
      <c r="E631" s="41">
        <f>E632</f>
        <v>32260.9</v>
      </c>
      <c r="F631" s="41">
        <f t="shared" si="332"/>
        <v>33647.9</v>
      </c>
      <c r="G631" s="41">
        <f t="shared" si="332"/>
        <v>35094.699999999997</v>
      </c>
    </row>
    <row r="632" spans="1:7" x14ac:dyDescent="0.25">
      <c r="A632" s="10" t="s">
        <v>210</v>
      </c>
      <c r="B632" s="38" t="s">
        <v>209</v>
      </c>
      <c r="C632" s="38" t="s">
        <v>1</v>
      </c>
      <c r="D632" s="38" t="s">
        <v>211</v>
      </c>
      <c r="E632" s="41">
        <f>32260.9</f>
        <v>32260.9</v>
      </c>
      <c r="F632" s="41">
        <f>33647.9</f>
        <v>33647.9</v>
      </c>
      <c r="G632" s="41">
        <f>35094.7</f>
        <v>35094.699999999997</v>
      </c>
    </row>
    <row r="633" spans="1:7" ht="26.4" x14ac:dyDescent="0.25">
      <c r="A633" s="42" t="s">
        <v>212</v>
      </c>
      <c r="B633" s="38" t="s">
        <v>213</v>
      </c>
      <c r="C633" s="38"/>
      <c r="D633" s="38"/>
      <c r="E633" s="41">
        <f>E634</f>
        <v>11427.6</v>
      </c>
      <c r="F633" s="41">
        <f t="shared" ref="F633:G633" si="333">F634</f>
        <v>5413.8</v>
      </c>
      <c r="G633" s="41">
        <f t="shared" si="333"/>
        <v>5413.8</v>
      </c>
    </row>
    <row r="634" spans="1:7" x14ac:dyDescent="0.25">
      <c r="A634" s="42" t="s">
        <v>193</v>
      </c>
      <c r="B634" s="38" t="s">
        <v>214</v>
      </c>
      <c r="C634" s="38"/>
      <c r="D634" s="38"/>
      <c r="E634" s="41">
        <f>E635+E637</f>
        <v>11427.6</v>
      </c>
      <c r="F634" s="41">
        <f t="shared" ref="F634:G634" si="334">F635+F637</f>
        <v>5413.8</v>
      </c>
      <c r="G634" s="41">
        <f t="shared" si="334"/>
        <v>5413.8</v>
      </c>
    </row>
    <row r="635" spans="1:7" ht="52.8" x14ac:dyDescent="0.25">
      <c r="A635" s="42" t="s">
        <v>117</v>
      </c>
      <c r="B635" s="38" t="s">
        <v>214</v>
      </c>
      <c r="C635" s="38" t="s">
        <v>4</v>
      </c>
      <c r="D635" s="38"/>
      <c r="E635" s="41">
        <f>E636</f>
        <v>10068.9</v>
      </c>
      <c r="F635" s="41">
        <f t="shared" ref="F635:G635" si="335">F636</f>
        <v>4460.3</v>
      </c>
      <c r="G635" s="41">
        <f t="shared" si="335"/>
        <v>4460.3</v>
      </c>
    </row>
    <row r="636" spans="1:7" x14ac:dyDescent="0.25">
      <c r="A636" s="10" t="s">
        <v>150</v>
      </c>
      <c r="B636" s="38" t="s">
        <v>214</v>
      </c>
      <c r="C636" s="38" t="s">
        <v>4</v>
      </c>
      <c r="D636" s="38" t="s">
        <v>110</v>
      </c>
      <c r="E636" s="41">
        <f>10068.9</f>
        <v>10068.9</v>
      </c>
      <c r="F636" s="41">
        <f>4460.3</f>
        <v>4460.3</v>
      </c>
      <c r="G636" s="41">
        <f>4460.3</f>
        <v>4460.3</v>
      </c>
    </row>
    <row r="637" spans="1:7" ht="26.4" x14ac:dyDescent="0.25">
      <c r="A637" s="32" t="s">
        <v>118</v>
      </c>
      <c r="B637" s="38" t="s">
        <v>214</v>
      </c>
      <c r="C637" s="38" t="s">
        <v>0</v>
      </c>
      <c r="D637" s="38"/>
      <c r="E637" s="41">
        <f>E638</f>
        <v>1358.7</v>
      </c>
      <c r="F637" s="41">
        <f t="shared" ref="F637:G637" si="336">F638</f>
        <v>953.5</v>
      </c>
      <c r="G637" s="41">
        <f t="shared" si="336"/>
        <v>953.5</v>
      </c>
    </row>
    <row r="638" spans="1:7" ht="16.2" customHeight="1" x14ac:dyDescent="0.25">
      <c r="A638" s="10" t="s">
        <v>150</v>
      </c>
      <c r="B638" s="38" t="s">
        <v>214</v>
      </c>
      <c r="C638" s="38" t="s">
        <v>0</v>
      </c>
      <c r="D638" s="38" t="s">
        <v>110</v>
      </c>
      <c r="E638" s="41">
        <f>1358.7</f>
        <v>1358.7</v>
      </c>
      <c r="F638" s="41">
        <f>953.5</f>
        <v>953.5</v>
      </c>
      <c r="G638" s="41">
        <f>953.5</f>
        <v>953.5</v>
      </c>
    </row>
    <row r="639" spans="1:7" ht="15" customHeight="1" x14ac:dyDescent="0.25">
      <c r="A639" s="42" t="s">
        <v>215</v>
      </c>
      <c r="B639" s="38" t="s">
        <v>216</v>
      </c>
      <c r="C639" s="38"/>
      <c r="D639" s="38"/>
      <c r="E639" s="41">
        <f>E640</f>
        <v>10504.5</v>
      </c>
      <c r="F639" s="41">
        <f t="shared" ref="F639:G639" si="337">F640</f>
        <v>5900</v>
      </c>
      <c r="G639" s="41">
        <f t="shared" si="337"/>
        <v>5900</v>
      </c>
    </row>
    <row r="640" spans="1:7" ht="15" customHeight="1" x14ac:dyDescent="0.25">
      <c r="A640" s="42" t="s">
        <v>217</v>
      </c>
      <c r="B640" s="38" t="s">
        <v>218</v>
      </c>
      <c r="C640" s="38"/>
      <c r="D640" s="38"/>
      <c r="E640" s="41">
        <f>E641+E643</f>
        <v>10504.5</v>
      </c>
      <c r="F640" s="41">
        <f t="shared" ref="F640:G640" si="338">F641+F643</f>
        <v>5900</v>
      </c>
      <c r="G640" s="41">
        <f t="shared" si="338"/>
        <v>5900</v>
      </c>
    </row>
    <row r="641" spans="1:7" ht="26.4" x14ac:dyDescent="0.25">
      <c r="A641" s="32" t="s">
        <v>118</v>
      </c>
      <c r="B641" s="38" t="s">
        <v>218</v>
      </c>
      <c r="C641" s="38" t="s">
        <v>0</v>
      </c>
      <c r="D641" s="38"/>
      <c r="E641" s="41">
        <f>E642</f>
        <v>10150</v>
      </c>
      <c r="F641" s="41">
        <f t="shared" ref="F641:G641" si="339">F642</f>
        <v>5900</v>
      </c>
      <c r="G641" s="41">
        <f t="shared" si="339"/>
        <v>5900</v>
      </c>
    </row>
    <row r="642" spans="1:7" ht="13.95" customHeight="1" x14ac:dyDescent="0.25">
      <c r="A642" s="42" t="s">
        <v>168</v>
      </c>
      <c r="B642" s="38" t="s">
        <v>218</v>
      </c>
      <c r="C642" s="38" t="s">
        <v>0</v>
      </c>
      <c r="D642" s="38" t="s">
        <v>91</v>
      </c>
      <c r="E642" s="41">
        <f>10150</f>
        <v>10150</v>
      </c>
      <c r="F642" s="41">
        <f>5900</f>
        <v>5900</v>
      </c>
      <c r="G642" s="41">
        <f>5900</f>
        <v>5900</v>
      </c>
    </row>
    <row r="643" spans="1:7" ht="13.95" customHeight="1" x14ac:dyDescent="0.25">
      <c r="A643" s="10" t="s">
        <v>152</v>
      </c>
      <c r="B643" s="38" t="s">
        <v>218</v>
      </c>
      <c r="C643" s="38" t="s">
        <v>1</v>
      </c>
      <c r="D643" s="38"/>
      <c r="E643" s="41">
        <f>E644</f>
        <v>354.5</v>
      </c>
      <c r="F643" s="41">
        <f t="shared" ref="F643:G643" si="340">F644</f>
        <v>0</v>
      </c>
      <c r="G643" s="41">
        <f t="shared" si="340"/>
        <v>0</v>
      </c>
    </row>
    <row r="644" spans="1:7" ht="13.95" customHeight="1" x14ac:dyDescent="0.25">
      <c r="A644" s="42" t="s">
        <v>168</v>
      </c>
      <c r="B644" s="38" t="s">
        <v>218</v>
      </c>
      <c r="C644" s="38" t="s">
        <v>1</v>
      </c>
      <c r="D644" s="38" t="s">
        <v>91</v>
      </c>
      <c r="E644" s="41">
        <f>354.5</f>
        <v>354.5</v>
      </c>
      <c r="F644" s="41">
        <f>0</f>
        <v>0</v>
      </c>
      <c r="G644" s="41">
        <f>0</f>
        <v>0</v>
      </c>
    </row>
    <row r="645" spans="1:7" ht="13.95" customHeight="1" x14ac:dyDescent="0.25">
      <c r="A645" s="42" t="s">
        <v>219</v>
      </c>
      <c r="B645" s="38" t="s">
        <v>220</v>
      </c>
      <c r="C645" s="38"/>
      <c r="D645" s="38"/>
      <c r="E645" s="41">
        <f>E646</f>
        <v>28898.2</v>
      </c>
      <c r="F645" s="41">
        <f t="shared" ref="F645:G647" si="341">F646</f>
        <v>7050</v>
      </c>
      <c r="G645" s="41">
        <f t="shared" si="341"/>
        <v>7050</v>
      </c>
    </row>
    <row r="646" spans="1:7" ht="13.95" customHeight="1" x14ac:dyDescent="0.25">
      <c r="A646" s="42" t="s">
        <v>221</v>
      </c>
      <c r="B646" s="38" t="s">
        <v>222</v>
      </c>
      <c r="C646" s="38"/>
      <c r="D646" s="38"/>
      <c r="E646" s="41">
        <f>E647+E649+E651</f>
        <v>28898.2</v>
      </c>
      <c r="F646" s="41">
        <f t="shared" ref="F646:G646" si="342">F647+F649+F651</f>
        <v>7050</v>
      </c>
      <c r="G646" s="41">
        <f t="shared" si="342"/>
        <v>7050</v>
      </c>
    </row>
    <row r="647" spans="1:7" ht="28.2" customHeight="1" x14ac:dyDescent="0.25">
      <c r="A647" s="47" t="s">
        <v>118</v>
      </c>
      <c r="B647" s="44" t="s">
        <v>222</v>
      </c>
      <c r="C647" s="44" t="s">
        <v>0</v>
      </c>
      <c r="D647" s="44"/>
      <c r="E647" s="45">
        <f>E648</f>
        <v>17366.600000000002</v>
      </c>
      <c r="F647" s="45">
        <f t="shared" si="341"/>
        <v>7050</v>
      </c>
      <c r="G647" s="45">
        <f t="shared" si="341"/>
        <v>7050</v>
      </c>
    </row>
    <row r="648" spans="1:7" x14ac:dyDescent="0.25">
      <c r="A648" s="46" t="s">
        <v>172</v>
      </c>
      <c r="B648" s="44" t="s">
        <v>222</v>
      </c>
      <c r="C648" s="44" t="s">
        <v>0</v>
      </c>
      <c r="D648" s="44" t="s">
        <v>99</v>
      </c>
      <c r="E648" s="45">
        <f>17366.7-0.1</f>
        <v>17366.600000000002</v>
      </c>
      <c r="F648" s="45">
        <f>7050</f>
        <v>7050</v>
      </c>
      <c r="G648" s="45">
        <f>7050</f>
        <v>7050</v>
      </c>
    </row>
    <row r="649" spans="1:7" x14ac:dyDescent="0.25">
      <c r="A649" s="46" t="s">
        <v>152</v>
      </c>
      <c r="B649" s="44" t="s">
        <v>222</v>
      </c>
      <c r="C649" s="44" t="s">
        <v>1</v>
      </c>
      <c r="D649" s="44"/>
      <c r="E649" s="45">
        <f>E650</f>
        <v>8541.4</v>
      </c>
      <c r="F649" s="45">
        <f t="shared" ref="F649:G649" si="343">F650</f>
        <v>0</v>
      </c>
      <c r="G649" s="45">
        <f t="shared" si="343"/>
        <v>0</v>
      </c>
    </row>
    <row r="650" spans="1:7" x14ac:dyDescent="0.25">
      <c r="A650" s="46" t="s">
        <v>172</v>
      </c>
      <c r="B650" s="44" t="s">
        <v>222</v>
      </c>
      <c r="C650" s="44" t="s">
        <v>1</v>
      </c>
      <c r="D650" s="44" t="s">
        <v>99</v>
      </c>
      <c r="E650" s="45">
        <f>8541.4</f>
        <v>8541.4</v>
      </c>
      <c r="F650" s="45">
        <v>0</v>
      </c>
      <c r="G650" s="45">
        <v>0</v>
      </c>
    </row>
    <row r="651" spans="1:7" x14ac:dyDescent="0.25">
      <c r="A651" s="46" t="s">
        <v>296</v>
      </c>
      <c r="B651" s="44" t="s">
        <v>523</v>
      </c>
      <c r="C651" s="44"/>
      <c r="D651" s="44"/>
      <c r="E651" s="45">
        <f>E652</f>
        <v>2990.2</v>
      </c>
      <c r="F651" s="45">
        <f t="shared" ref="F651:G652" si="344">F652</f>
        <v>0</v>
      </c>
      <c r="G651" s="45">
        <f t="shared" si="344"/>
        <v>0</v>
      </c>
    </row>
    <row r="652" spans="1:7" ht="26.4" x14ac:dyDescent="0.25">
      <c r="A652" s="47" t="s">
        <v>118</v>
      </c>
      <c r="B652" s="44" t="s">
        <v>523</v>
      </c>
      <c r="C652" s="44" t="s">
        <v>0</v>
      </c>
      <c r="D652" s="44"/>
      <c r="E652" s="45">
        <f>E653</f>
        <v>2990.2</v>
      </c>
      <c r="F652" s="45">
        <f t="shared" si="344"/>
        <v>0</v>
      </c>
      <c r="G652" s="45">
        <f t="shared" si="344"/>
        <v>0</v>
      </c>
    </row>
    <row r="653" spans="1:7" x14ac:dyDescent="0.25">
      <c r="A653" s="46" t="s">
        <v>172</v>
      </c>
      <c r="B653" s="44" t="s">
        <v>523</v>
      </c>
      <c r="C653" s="44" t="s">
        <v>0</v>
      </c>
      <c r="D653" s="44" t="s">
        <v>99</v>
      </c>
      <c r="E653" s="45">
        <f>2990.2</f>
        <v>2990.2</v>
      </c>
      <c r="F653" s="45">
        <f>0</f>
        <v>0</v>
      </c>
      <c r="G653" s="45">
        <f>0</f>
        <v>0</v>
      </c>
    </row>
    <row r="654" spans="1:7" x14ac:dyDescent="0.25">
      <c r="A654" s="42" t="s">
        <v>379</v>
      </c>
      <c r="B654" s="38" t="s">
        <v>380</v>
      </c>
      <c r="C654" s="38"/>
      <c r="D654" s="38"/>
      <c r="E654" s="41">
        <f>E655</f>
        <v>0</v>
      </c>
      <c r="F654" s="41">
        <f t="shared" ref="F654:G656" si="345">F655</f>
        <v>16129.1</v>
      </c>
      <c r="G654" s="41">
        <f t="shared" si="345"/>
        <v>0</v>
      </c>
    </row>
    <row r="655" spans="1:7" x14ac:dyDescent="0.25">
      <c r="A655" s="42" t="s">
        <v>296</v>
      </c>
      <c r="B655" s="38" t="s">
        <v>381</v>
      </c>
      <c r="C655" s="38"/>
      <c r="D655" s="38"/>
      <c r="E655" s="41">
        <f>E656</f>
        <v>0</v>
      </c>
      <c r="F655" s="41">
        <f t="shared" si="345"/>
        <v>16129.1</v>
      </c>
      <c r="G655" s="41">
        <f t="shared" si="345"/>
        <v>0</v>
      </c>
    </row>
    <row r="656" spans="1:7" ht="26.4" x14ac:dyDescent="0.25">
      <c r="A656" s="42" t="s">
        <v>118</v>
      </c>
      <c r="B656" s="38" t="s">
        <v>381</v>
      </c>
      <c r="C656" s="38" t="s">
        <v>0</v>
      </c>
      <c r="D656" s="38"/>
      <c r="E656" s="41">
        <f>E657</f>
        <v>0</v>
      </c>
      <c r="F656" s="41">
        <f t="shared" si="345"/>
        <v>16129.1</v>
      </c>
      <c r="G656" s="41">
        <f t="shared" si="345"/>
        <v>0</v>
      </c>
    </row>
    <row r="657" spans="1:7" ht="16.2" customHeight="1" x14ac:dyDescent="0.25">
      <c r="A657" s="42" t="s">
        <v>155</v>
      </c>
      <c r="B657" s="38" t="s">
        <v>381</v>
      </c>
      <c r="C657" s="38" t="s">
        <v>0</v>
      </c>
      <c r="D657" s="38" t="s">
        <v>37</v>
      </c>
      <c r="E657" s="41">
        <v>0</v>
      </c>
      <c r="F657" s="41">
        <v>16129.1</v>
      </c>
      <c r="G657" s="41">
        <v>0</v>
      </c>
    </row>
    <row r="658" spans="1:7" ht="16.2" customHeight="1" x14ac:dyDescent="0.25">
      <c r="A658" s="42" t="s">
        <v>445</v>
      </c>
      <c r="B658" s="38" t="s">
        <v>444</v>
      </c>
      <c r="C658" s="38"/>
      <c r="D658" s="38"/>
      <c r="E658" s="41">
        <f>E659</f>
        <v>372.6</v>
      </c>
      <c r="F658" s="41">
        <f t="shared" ref="F658:G660" si="346">F659</f>
        <v>0</v>
      </c>
      <c r="G658" s="41">
        <f t="shared" si="346"/>
        <v>0</v>
      </c>
    </row>
    <row r="659" spans="1:7" x14ac:dyDescent="0.25">
      <c r="A659" s="42" t="s">
        <v>296</v>
      </c>
      <c r="B659" s="38" t="s">
        <v>446</v>
      </c>
      <c r="C659" s="38"/>
      <c r="D659" s="38"/>
      <c r="E659" s="41">
        <f>E660</f>
        <v>372.6</v>
      </c>
      <c r="F659" s="41">
        <f t="shared" si="346"/>
        <v>0</v>
      </c>
      <c r="G659" s="41">
        <f t="shared" si="346"/>
        <v>0</v>
      </c>
    </row>
    <row r="660" spans="1:7" ht="26.4" x14ac:dyDescent="0.25">
      <c r="A660" s="47" t="s">
        <v>118</v>
      </c>
      <c r="B660" s="38" t="s">
        <v>446</v>
      </c>
      <c r="C660" s="38" t="s">
        <v>0</v>
      </c>
      <c r="D660" s="38"/>
      <c r="E660" s="41">
        <f>E661</f>
        <v>372.6</v>
      </c>
      <c r="F660" s="41">
        <f t="shared" si="346"/>
        <v>0</v>
      </c>
      <c r="G660" s="41">
        <f t="shared" si="346"/>
        <v>0</v>
      </c>
    </row>
    <row r="661" spans="1:7" x14ac:dyDescent="0.25">
      <c r="A661" s="47" t="s">
        <v>156</v>
      </c>
      <c r="B661" s="38" t="s">
        <v>446</v>
      </c>
      <c r="C661" s="38" t="s">
        <v>0</v>
      </c>
      <c r="D661" s="38" t="s">
        <v>35</v>
      </c>
      <c r="E661" s="41">
        <f>372.6</f>
        <v>372.6</v>
      </c>
      <c r="F661" s="41">
        <f>0</f>
        <v>0</v>
      </c>
      <c r="G661" s="41">
        <f>0</f>
        <v>0</v>
      </c>
    </row>
    <row r="662" spans="1:7" x14ac:dyDescent="0.25">
      <c r="A662" s="42" t="s">
        <v>223</v>
      </c>
      <c r="B662" s="38" t="s">
        <v>224</v>
      </c>
      <c r="C662" s="38"/>
      <c r="D662" s="38"/>
      <c r="E662" s="41">
        <f>E663</f>
        <v>32.9</v>
      </c>
      <c r="F662" s="41">
        <f t="shared" ref="F662:G664" si="347">F663</f>
        <v>0</v>
      </c>
      <c r="G662" s="41">
        <f t="shared" si="347"/>
        <v>0</v>
      </c>
    </row>
    <row r="663" spans="1:7" x14ac:dyDescent="0.25">
      <c r="A663" s="42" t="s">
        <v>223</v>
      </c>
      <c r="B663" s="38" t="s">
        <v>225</v>
      </c>
      <c r="C663" s="38"/>
      <c r="D663" s="38"/>
      <c r="E663" s="41">
        <f>E664</f>
        <v>32.9</v>
      </c>
      <c r="F663" s="41">
        <f t="shared" si="347"/>
        <v>0</v>
      </c>
      <c r="G663" s="41">
        <f t="shared" si="347"/>
        <v>0</v>
      </c>
    </row>
    <row r="664" spans="1:7" ht="26.4" x14ac:dyDescent="0.25">
      <c r="A664" s="42" t="s">
        <v>118</v>
      </c>
      <c r="B664" s="38" t="s">
        <v>225</v>
      </c>
      <c r="C664" s="38" t="s">
        <v>0</v>
      </c>
      <c r="D664" s="38"/>
      <c r="E664" s="41">
        <f>E665</f>
        <v>32.9</v>
      </c>
      <c r="F664" s="41">
        <f t="shared" si="347"/>
        <v>0</v>
      </c>
      <c r="G664" s="41">
        <f t="shared" si="347"/>
        <v>0</v>
      </c>
    </row>
    <row r="665" spans="1:7" ht="26.4" x14ac:dyDescent="0.25">
      <c r="A665" s="42" t="s">
        <v>226</v>
      </c>
      <c r="B665" s="38" t="s">
        <v>225</v>
      </c>
      <c r="C665" s="38" t="s">
        <v>0</v>
      </c>
      <c r="D665" s="38" t="s">
        <v>227</v>
      </c>
      <c r="E665" s="41">
        <f>32.9</f>
        <v>32.9</v>
      </c>
      <c r="F665" s="41">
        <f>0</f>
        <v>0</v>
      </c>
      <c r="G665" s="41">
        <f>0</f>
        <v>0</v>
      </c>
    </row>
    <row r="666" spans="1:7" ht="26.4" x14ac:dyDescent="0.25">
      <c r="A666" s="42" t="s">
        <v>228</v>
      </c>
      <c r="B666" s="38" t="s">
        <v>229</v>
      </c>
      <c r="C666" s="38"/>
      <c r="D666" s="38"/>
      <c r="E666" s="41">
        <f>E667</f>
        <v>6902.0999999999995</v>
      </c>
      <c r="F666" s="41">
        <f t="shared" ref="F666:G666" si="348">F667</f>
        <v>3189.7</v>
      </c>
      <c r="G666" s="41">
        <f t="shared" si="348"/>
        <v>3189.7</v>
      </c>
    </row>
    <row r="667" spans="1:7" x14ac:dyDescent="0.25">
      <c r="A667" s="42" t="s">
        <v>193</v>
      </c>
      <c r="B667" s="38" t="s">
        <v>230</v>
      </c>
      <c r="C667" s="38"/>
      <c r="D667" s="38"/>
      <c r="E667" s="41">
        <f>E668+E670+E672</f>
        <v>6902.0999999999995</v>
      </c>
      <c r="F667" s="41">
        <f t="shared" ref="F667:G667" si="349">F668+F670+F672</f>
        <v>3189.7</v>
      </c>
      <c r="G667" s="41">
        <f t="shared" si="349"/>
        <v>3189.7</v>
      </c>
    </row>
    <row r="668" spans="1:7" ht="54.6" customHeight="1" x14ac:dyDescent="0.25">
      <c r="A668" s="42" t="s">
        <v>117</v>
      </c>
      <c r="B668" s="38" t="s">
        <v>230</v>
      </c>
      <c r="C668" s="38" t="s">
        <v>4</v>
      </c>
      <c r="D668" s="38"/>
      <c r="E668" s="41">
        <f>E669</f>
        <v>5780.4</v>
      </c>
      <c r="F668" s="41">
        <f t="shared" ref="F668:G668" si="350">F669</f>
        <v>2511.1</v>
      </c>
      <c r="G668" s="41">
        <f t="shared" si="350"/>
        <v>2511.1</v>
      </c>
    </row>
    <row r="669" spans="1:7" ht="16.2" customHeight="1" x14ac:dyDescent="0.25">
      <c r="A669" s="10" t="s">
        <v>151</v>
      </c>
      <c r="B669" s="38" t="s">
        <v>230</v>
      </c>
      <c r="C669" s="38" t="s">
        <v>4</v>
      </c>
      <c r="D669" s="38" t="s">
        <v>93</v>
      </c>
      <c r="E669" s="41">
        <f>5780.4</f>
        <v>5780.4</v>
      </c>
      <c r="F669" s="41">
        <f>2511.1</f>
        <v>2511.1</v>
      </c>
      <c r="G669" s="41">
        <f>2511.1</f>
        <v>2511.1</v>
      </c>
    </row>
    <row r="670" spans="1:7" ht="26.4" x14ac:dyDescent="0.25">
      <c r="A670" s="32" t="s">
        <v>118</v>
      </c>
      <c r="B670" s="38" t="s">
        <v>230</v>
      </c>
      <c r="C670" s="38" t="s">
        <v>0</v>
      </c>
      <c r="D670" s="38"/>
      <c r="E670" s="41">
        <f>E671</f>
        <v>1103.7</v>
      </c>
      <c r="F670" s="41">
        <f t="shared" ref="F670:G670" si="351">F671</f>
        <v>660.6</v>
      </c>
      <c r="G670" s="41">
        <f t="shared" si="351"/>
        <v>660.6</v>
      </c>
    </row>
    <row r="671" spans="1:7" ht="15" customHeight="1" x14ac:dyDescent="0.25">
      <c r="A671" s="10" t="s">
        <v>151</v>
      </c>
      <c r="B671" s="38" t="s">
        <v>230</v>
      </c>
      <c r="C671" s="38" t="s">
        <v>0</v>
      </c>
      <c r="D671" s="38" t="s">
        <v>93</v>
      </c>
      <c r="E671" s="41">
        <f>1103.7</f>
        <v>1103.7</v>
      </c>
      <c r="F671" s="41">
        <f>660.6</f>
        <v>660.6</v>
      </c>
      <c r="G671" s="41">
        <f>660.6</f>
        <v>660.6</v>
      </c>
    </row>
    <row r="672" spans="1:7" x14ac:dyDescent="0.25">
      <c r="A672" s="10" t="s">
        <v>152</v>
      </c>
      <c r="B672" s="38" t="s">
        <v>230</v>
      </c>
      <c r="C672" s="38" t="s">
        <v>1</v>
      </c>
      <c r="D672" s="38"/>
      <c r="E672" s="41">
        <f>E673</f>
        <v>18</v>
      </c>
      <c r="F672" s="41">
        <f t="shared" ref="F672:G672" si="352">F673</f>
        <v>18</v>
      </c>
      <c r="G672" s="41">
        <f t="shared" si="352"/>
        <v>18</v>
      </c>
    </row>
    <row r="673" spans="1:7" x14ac:dyDescent="0.25">
      <c r="A673" s="10" t="s">
        <v>151</v>
      </c>
      <c r="B673" s="38" t="s">
        <v>230</v>
      </c>
      <c r="C673" s="38" t="s">
        <v>1</v>
      </c>
      <c r="D673" s="38" t="s">
        <v>93</v>
      </c>
      <c r="E673" s="41">
        <f>18</f>
        <v>18</v>
      </c>
      <c r="F673" s="41">
        <f>18</f>
        <v>18</v>
      </c>
      <c r="G673" s="41">
        <f>18</f>
        <v>18</v>
      </c>
    </row>
    <row r="674" spans="1:7" x14ac:dyDescent="0.25">
      <c r="A674" s="42" t="s">
        <v>231</v>
      </c>
      <c r="B674" s="38" t="s">
        <v>232</v>
      </c>
      <c r="C674" s="38"/>
      <c r="D674" s="38"/>
      <c r="E674" s="41">
        <f>E675</f>
        <v>7484.9</v>
      </c>
      <c r="F674" s="41">
        <f t="shared" ref="F674:G676" si="353">F675</f>
        <v>4800</v>
      </c>
      <c r="G674" s="41">
        <f t="shared" si="353"/>
        <v>4800</v>
      </c>
    </row>
    <row r="675" spans="1:7" ht="16.2" customHeight="1" x14ac:dyDescent="0.25">
      <c r="A675" s="42" t="s">
        <v>193</v>
      </c>
      <c r="B675" s="38" t="s">
        <v>233</v>
      </c>
      <c r="C675" s="38"/>
      <c r="D675" s="38"/>
      <c r="E675" s="41">
        <f>E676+E678</f>
        <v>7484.9</v>
      </c>
      <c r="F675" s="41">
        <f t="shared" ref="F675:G675" si="354">F676+F678</f>
        <v>4800</v>
      </c>
      <c r="G675" s="41">
        <f t="shared" si="354"/>
        <v>4800</v>
      </c>
    </row>
    <row r="676" spans="1:7" ht="28.2" customHeight="1" x14ac:dyDescent="0.25">
      <c r="A676" s="42" t="s">
        <v>158</v>
      </c>
      <c r="B676" s="38" t="s">
        <v>233</v>
      </c>
      <c r="C676" s="38" t="s">
        <v>3</v>
      </c>
      <c r="D676" s="38"/>
      <c r="E676" s="41">
        <f>E677</f>
        <v>6000</v>
      </c>
      <c r="F676" s="41">
        <f t="shared" si="353"/>
        <v>4800</v>
      </c>
      <c r="G676" s="41">
        <f t="shared" si="353"/>
        <v>4800</v>
      </c>
    </row>
    <row r="677" spans="1:7" ht="16.95" customHeight="1" x14ac:dyDescent="0.25">
      <c r="A677" s="42" t="s">
        <v>234</v>
      </c>
      <c r="B677" s="38" t="s">
        <v>233</v>
      </c>
      <c r="C677" s="38" t="s">
        <v>3</v>
      </c>
      <c r="D677" s="38" t="s">
        <v>235</v>
      </c>
      <c r="E677" s="41">
        <f>6000</f>
        <v>6000</v>
      </c>
      <c r="F677" s="41">
        <f>4800</f>
        <v>4800</v>
      </c>
      <c r="G677" s="41">
        <f>4800</f>
        <v>4800</v>
      </c>
    </row>
    <row r="678" spans="1:7" ht="26.4" x14ac:dyDescent="0.25">
      <c r="A678" s="42" t="s">
        <v>158</v>
      </c>
      <c r="B678" s="38" t="s">
        <v>524</v>
      </c>
      <c r="C678" s="38"/>
      <c r="D678" s="38"/>
      <c r="E678" s="41">
        <f>E679</f>
        <v>1484.9</v>
      </c>
      <c r="F678" s="41">
        <f t="shared" ref="F678:G678" si="355">F679</f>
        <v>0</v>
      </c>
      <c r="G678" s="41">
        <f t="shared" si="355"/>
        <v>0</v>
      </c>
    </row>
    <row r="679" spans="1:7" ht="15.6" customHeight="1" x14ac:dyDescent="0.25">
      <c r="A679" s="42" t="s">
        <v>234</v>
      </c>
      <c r="B679" s="38" t="s">
        <v>524</v>
      </c>
      <c r="C679" s="38" t="s">
        <v>3</v>
      </c>
      <c r="D679" s="38" t="s">
        <v>235</v>
      </c>
      <c r="E679" s="41">
        <f>1484.9</f>
        <v>1484.9</v>
      </c>
      <c r="F679" s="41">
        <f>0</f>
        <v>0</v>
      </c>
      <c r="G679" s="41">
        <f>0</f>
        <v>0</v>
      </c>
    </row>
    <row r="680" spans="1:7" ht="15.6" customHeight="1" x14ac:dyDescent="0.25">
      <c r="A680" s="42" t="s">
        <v>193</v>
      </c>
      <c r="B680" s="38" t="s">
        <v>505</v>
      </c>
      <c r="C680" s="38"/>
      <c r="D680" s="38"/>
      <c r="E680" s="41">
        <f>E681</f>
        <v>700</v>
      </c>
      <c r="F680" s="41">
        <f t="shared" ref="F680:G681" si="356">F681</f>
        <v>0</v>
      </c>
      <c r="G680" s="41">
        <f t="shared" si="356"/>
        <v>0</v>
      </c>
    </row>
    <row r="681" spans="1:7" ht="26.4" x14ac:dyDescent="0.25">
      <c r="A681" s="42" t="s">
        <v>158</v>
      </c>
      <c r="B681" s="38" t="s">
        <v>505</v>
      </c>
      <c r="C681" s="38" t="s">
        <v>3</v>
      </c>
      <c r="D681" s="38"/>
      <c r="E681" s="41">
        <f>E682</f>
        <v>700</v>
      </c>
      <c r="F681" s="41">
        <f t="shared" si="356"/>
        <v>0</v>
      </c>
      <c r="G681" s="41">
        <f t="shared" si="356"/>
        <v>0</v>
      </c>
    </row>
    <row r="682" spans="1:7" ht="16.2" customHeight="1" x14ac:dyDescent="0.25">
      <c r="A682" s="42" t="s">
        <v>507</v>
      </c>
      <c r="B682" s="38" t="s">
        <v>505</v>
      </c>
      <c r="C682" s="38" t="s">
        <v>3</v>
      </c>
      <c r="D682" s="38" t="s">
        <v>506</v>
      </c>
      <c r="E682" s="41">
        <f>700</f>
        <v>700</v>
      </c>
      <c r="F682" s="41">
        <f>0</f>
        <v>0</v>
      </c>
      <c r="G682" s="41">
        <f>0</f>
        <v>0</v>
      </c>
    </row>
    <row r="683" spans="1:7" ht="16.2" customHeight="1" x14ac:dyDescent="0.25">
      <c r="A683" s="42" t="s">
        <v>236</v>
      </c>
      <c r="B683" s="38" t="s">
        <v>237</v>
      </c>
      <c r="C683" s="38"/>
      <c r="D683" s="38"/>
      <c r="E683" s="41">
        <f>E684</f>
        <v>0</v>
      </c>
      <c r="F683" s="41">
        <f t="shared" ref="F683:G685" si="357">F684</f>
        <v>0</v>
      </c>
      <c r="G683" s="41">
        <f t="shared" si="357"/>
        <v>16129.1</v>
      </c>
    </row>
    <row r="684" spans="1:7" ht="27" customHeight="1" x14ac:dyDescent="0.25">
      <c r="A684" s="42" t="s">
        <v>296</v>
      </c>
      <c r="B684" s="38" t="s">
        <v>238</v>
      </c>
      <c r="C684" s="38"/>
      <c r="D684" s="38"/>
      <c r="E684" s="41">
        <f>E685</f>
        <v>0</v>
      </c>
      <c r="F684" s="41">
        <f t="shared" si="357"/>
        <v>0</v>
      </c>
      <c r="G684" s="41">
        <f t="shared" si="357"/>
        <v>16129.1</v>
      </c>
    </row>
    <row r="685" spans="1:7" ht="26.4" x14ac:dyDescent="0.25">
      <c r="A685" s="42" t="s">
        <v>158</v>
      </c>
      <c r="B685" s="38" t="s">
        <v>238</v>
      </c>
      <c r="C685" s="38" t="s">
        <v>3</v>
      </c>
      <c r="D685" s="38"/>
      <c r="E685" s="41">
        <f>E686</f>
        <v>0</v>
      </c>
      <c r="F685" s="41">
        <f t="shared" si="357"/>
        <v>0</v>
      </c>
      <c r="G685" s="41">
        <f t="shared" si="357"/>
        <v>16129.1</v>
      </c>
    </row>
    <row r="686" spans="1:7" x14ac:dyDescent="0.25">
      <c r="A686" s="42" t="s">
        <v>166</v>
      </c>
      <c r="B686" s="38" t="s">
        <v>238</v>
      </c>
      <c r="C686" s="38" t="s">
        <v>3</v>
      </c>
      <c r="D686" s="38" t="s">
        <v>70</v>
      </c>
      <c r="E686" s="41">
        <f>0</f>
        <v>0</v>
      </c>
      <c r="F686" s="41">
        <v>0</v>
      </c>
      <c r="G686" s="41">
        <f>16129.1</f>
        <v>16129.1</v>
      </c>
    </row>
    <row r="687" spans="1:7" x14ac:dyDescent="0.25">
      <c r="A687" s="42" t="s">
        <v>239</v>
      </c>
      <c r="B687" s="38" t="s">
        <v>240</v>
      </c>
      <c r="C687" s="38"/>
      <c r="D687" s="38"/>
      <c r="E687" s="41">
        <f>E688</f>
        <v>9193.7000000000007</v>
      </c>
      <c r="F687" s="41">
        <f t="shared" ref="F687:G689" si="358">F688</f>
        <v>8177.5</v>
      </c>
      <c r="G687" s="41">
        <f t="shared" si="358"/>
        <v>8177.5</v>
      </c>
    </row>
    <row r="688" spans="1:7" ht="26.4" x14ac:dyDescent="0.25">
      <c r="A688" s="42" t="s">
        <v>276</v>
      </c>
      <c r="B688" s="38" t="s">
        <v>241</v>
      </c>
      <c r="C688" s="38"/>
      <c r="D688" s="38"/>
      <c r="E688" s="41">
        <f>E689</f>
        <v>9193.7000000000007</v>
      </c>
      <c r="F688" s="41">
        <f t="shared" si="358"/>
        <v>8177.5</v>
      </c>
      <c r="G688" s="41">
        <f t="shared" si="358"/>
        <v>8177.5</v>
      </c>
    </row>
    <row r="689" spans="1:7" x14ac:dyDescent="0.25">
      <c r="A689" s="42" t="s">
        <v>119</v>
      </c>
      <c r="B689" s="38" t="s">
        <v>241</v>
      </c>
      <c r="C689" s="38" t="s">
        <v>2</v>
      </c>
      <c r="D689" s="38"/>
      <c r="E689" s="41">
        <f>E690</f>
        <v>9193.7000000000007</v>
      </c>
      <c r="F689" s="41">
        <f t="shared" si="358"/>
        <v>8177.5</v>
      </c>
      <c r="G689" s="41">
        <f t="shared" si="358"/>
        <v>8177.5</v>
      </c>
    </row>
    <row r="690" spans="1:7" x14ac:dyDescent="0.25">
      <c r="A690" s="42" t="s">
        <v>242</v>
      </c>
      <c r="B690" s="38" t="s">
        <v>241</v>
      </c>
      <c r="C690" s="38" t="s">
        <v>2</v>
      </c>
      <c r="D690" s="38" t="s">
        <v>243</v>
      </c>
      <c r="E690" s="41">
        <f>9193.7</f>
        <v>9193.7000000000007</v>
      </c>
      <c r="F690" s="41">
        <f>8177.5</f>
        <v>8177.5</v>
      </c>
      <c r="G690" s="41">
        <f>8177.5</f>
        <v>8177.5</v>
      </c>
    </row>
    <row r="691" spans="1:7" ht="26.4" x14ac:dyDescent="0.25">
      <c r="A691" s="42" t="s">
        <v>246</v>
      </c>
      <c r="B691" s="38" t="s">
        <v>247</v>
      </c>
      <c r="C691" s="38"/>
      <c r="D691" s="38"/>
      <c r="E691" s="41">
        <f>E692</f>
        <v>703.6</v>
      </c>
      <c r="F691" s="41">
        <f t="shared" ref="F691:G693" si="359">F692</f>
        <v>703.6</v>
      </c>
      <c r="G691" s="41">
        <f t="shared" si="359"/>
        <v>703.6</v>
      </c>
    </row>
    <row r="692" spans="1:7" ht="18.600000000000001" customHeight="1" x14ac:dyDescent="0.25">
      <c r="A692" s="42" t="s">
        <v>248</v>
      </c>
      <c r="B692" s="38" t="s">
        <v>249</v>
      </c>
      <c r="C692" s="38"/>
      <c r="D692" s="38"/>
      <c r="E692" s="41">
        <f>E693</f>
        <v>703.6</v>
      </c>
      <c r="F692" s="41">
        <f t="shared" si="359"/>
        <v>703.6</v>
      </c>
      <c r="G692" s="41">
        <f t="shared" si="359"/>
        <v>703.6</v>
      </c>
    </row>
    <row r="693" spans="1:7" ht="13.95" customHeight="1" x14ac:dyDescent="0.25">
      <c r="A693" s="42" t="s">
        <v>119</v>
      </c>
      <c r="B693" s="38" t="s">
        <v>249</v>
      </c>
      <c r="C693" s="38" t="s">
        <v>2</v>
      </c>
      <c r="D693" s="38"/>
      <c r="E693" s="41">
        <f>E694</f>
        <v>703.6</v>
      </c>
      <c r="F693" s="41">
        <f t="shared" si="359"/>
        <v>703.6</v>
      </c>
      <c r="G693" s="41">
        <f t="shared" si="359"/>
        <v>703.6</v>
      </c>
    </row>
    <row r="694" spans="1:7" x14ac:dyDescent="0.25">
      <c r="A694" s="42" t="s">
        <v>244</v>
      </c>
      <c r="B694" s="38" t="s">
        <v>249</v>
      </c>
      <c r="C694" s="38" t="s">
        <v>2</v>
      </c>
      <c r="D694" s="38" t="s">
        <v>245</v>
      </c>
      <c r="E694" s="41">
        <f>703.6</f>
        <v>703.6</v>
      </c>
      <c r="F694" s="41">
        <f>703.6</f>
        <v>703.6</v>
      </c>
      <c r="G694" s="41">
        <f>703.6</f>
        <v>703.6</v>
      </c>
    </row>
    <row r="695" spans="1:7" ht="26.4" x14ac:dyDescent="0.25">
      <c r="A695" s="42" t="s">
        <v>400</v>
      </c>
      <c r="B695" s="38" t="s">
        <v>399</v>
      </c>
      <c r="C695" s="38"/>
      <c r="D695" s="38"/>
      <c r="E695" s="41">
        <f>E696</f>
        <v>2250</v>
      </c>
      <c r="F695" s="41">
        <f t="shared" ref="F695:G695" si="360">F696</f>
        <v>2250</v>
      </c>
      <c r="G695" s="41">
        <f t="shared" si="360"/>
        <v>2250</v>
      </c>
    </row>
    <row r="696" spans="1:7" ht="26.4" x14ac:dyDescent="0.25">
      <c r="A696" s="48" t="s">
        <v>397</v>
      </c>
      <c r="B696" s="38" t="s">
        <v>398</v>
      </c>
      <c r="C696" s="38"/>
      <c r="D696" s="38"/>
      <c r="E696" s="41">
        <f>E697</f>
        <v>2250</v>
      </c>
      <c r="F696" s="41">
        <f t="shared" ref="F696:G696" si="361">F697</f>
        <v>2250</v>
      </c>
      <c r="G696" s="41">
        <f t="shared" si="361"/>
        <v>2250</v>
      </c>
    </row>
    <row r="697" spans="1:7" ht="57" customHeight="1" x14ac:dyDescent="0.25">
      <c r="A697" s="42" t="s">
        <v>525</v>
      </c>
      <c r="B697" s="38" t="s">
        <v>526</v>
      </c>
      <c r="C697" s="38"/>
      <c r="D697" s="38"/>
      <c r="E697" s="41">
        <f>E698+E700</f>
        <v>2250</v>
      </c>
      <c r="F697" s="41">
        <f t="shared" ref="F697:G697" si="362">F698+F700</f>
        <v>2250</v>
      </c>
      <c r="G697" s="41">
        <f t="shared" si="362"/>
        <v>2250</v>
      </c>
    </row>
    <row r="698" spans="1:7" ht="58.5" customHeight="1" x14ac:dyDescent="0.25">
      <c r="A698" s="42" t="s">
        <v>117</v>
      </c>
      <c r="B698" s="38" t="s">
        <v>526</v>
      </c>
      <c r="C698" s="38" t="s">
        <v>4</v>
      </c>
      <c r="D698" s="38"/>
      <c r="E698" s="41">
        <f>E699</f>
        <v>2045.7</v>
      </c>
      <c r="F698" s="41">
        <f t="shared" ref="F698:G698" si="363">F699</f>
        <v>2045.5</v>
      </c>
      <c r="G698" s="41">
        <f t="shared" si="363"/>
        <v>2045.5</v>
      </c>
    </row>
    <row r="699" spans="1:7" x14ac:dyDescent="0.25">
      <c r="A699" s="42" t="s">
        <v>161</v>
      </c>
      <c r="B699" s="38" t="s">
        <v>526</v>
      </c>
      <c r="C699" s="38" t="s">
        <v>4</v>
      </c>
      <c r="D699" s="38" t="s">
        <v>46</v>
      </c>
      <c r="E699" s="41">
        <f>2045.7</f>
        <v>2045.7</v>
      </c>
      <c r="F699" s="41">
        <f>2045.5</f>
        <v>2045.5</v>
      </c>
      <c r="G699" s="41">
        <f>2045.5</f>
        <v>2045.5</v>
      </c>
    </row>
    <row r="700" spans="1:7" ht="28.2" customHeight="1" x14ac:dyDescent="0.25">
      <c r="A700" s="32" t="s">
        <v>118</v>
      </c>
      <c r="B700" s="38" t="s">
        <v>526</v>
      </c>
      <c r="C700" s="38" t="s">
        <v>0</v>
      </c>
      <c r="D700" s="38"/>
      <c r="E700" s="41">
        <f>E701</f>
        <v>204.3</v>
      </c>
      <c r="F700" s="41">
        <f t="shared" ref="F700:G700" si="364">F701</f>
        <v>204.5</v>
      </c>
      <c r="G700" s="41">
        <f t="shared" si="364"/>
        <v>204.5</v>
      </c>
    </row>
    <row r="701" spans="1:7" ht="15" customHeight="1" x14ac:dyDescent="0.25">
      <c r="A701" s="42" t="s">
        <v>161</v>
      </c>
      <c r="B701" s="38" t="s">
        <v>526</v>
      </c>
      <c r="C701" s="38" t="s">
        <v>0</v>
      </c>
      <c r="D701" s="38" t="s">
        <v>46</v>
      </c>
      <c r="E701" s="41">
        <f>204.3</f>
        <v>204.3</v>
      </c>
      <c r="F701" s="41">
        <f>204.5</f>
        <v>204.5</v>
      </c>
      <c r="G701" s="41">
        <f>204.5</f>
        <v>204.5</v>
      </c>
    </row>
    <row r="702" spans="1:7" ht="16.95" customHeight="1" x14ac:dyDescent="0.25">
      <c r="A702" s="42" t="s">
        <v>250</v>
      </c>
      <c r="B702" s="38" t="s">
        <v>251</v>
      </c>
      <c r="C702" s="38"/>
      <c r="D702" s="38"/>
      <c r="E702" s="41">
        <f>E703</f>
        <v>7036.2</v>
      </c>
      <c r="F702" s="41">
        <f t="shared" ref="F702:G703" si="365">F703</f>
        <v>7036.2000000000007</v>
      </c>
      <c r="G702" s="41">
        <f t="shared" si="365"/>
        <v>7036.2000000000007</v>
      </c>
    </row>
    <row r="703" spans="1:7" ht="40.5" customHeight="1" x14ac:dyDescent="0.25">
      <c r="A703" s="42" t="s">
        <v>402</v>
      </c>
      <c r="B703" s="38" t="s">
        <v>401</v>
      </c>
      <c r="C703" s="38"/>
      <c r="D703" s="38"/>
      <c r="E703" s="41">
        <f>E704</f>
        <v>7036.2</v>
      </c>
      <c r="F703" s="41">
        <f t="shared" si="365"/>
        <v>7036.2000000000007</v>
      </c>
      <c r="G703" s="41">
        <f t="shared" si="365"/>
        <v>7036.2000000000007</v>
      </c>
    </row>
    <row r="704" spans="1:7" s="34" customFormat="1" ht="57" customHeight="1" x14ac:dyDescent="0.25">
      <c r="A704" s="42" t="s">
        <v>527</v>
      </c>
      <c r="B704" s="38" t="s">
        <v>528</v>
      </c>
      <c r="C704" s="38"/>
      <c r="D704" s="38"/>
      <c r="E704" s="41">
        <f>E705+E707</f>
        <v>7036.2</v>
      </c>
      <c r="F704" s="41">
        <f t="shared" ref="F704:G704" si="366">F705+F707</f>
        <v>7036.2000000000007</v>
      </c>
      <c r="G704" s="41">
        <f t="shared" si="366"/>
        <v>7036.2000000000007</v>
      </c>
    </row>
    <row r="705" spans="1:7" ht="57" customHeight="1" x14ac:dyDescent="0.25">
      <c r="A705" s="42" t="s">
        <v>117</v>
      </c>
      <c r="B705" s="38" t="s">
        <v>528</v>
      </c>
      <c r="C705" s="38" t="s">
        <v>4</v>
      </c>
      <c r="D705" s="38"/>
      <c r="E705" s="41">
        <f>E706</f>
        <v>6429.4</v>
      </c>
      <c r="F705" s="41">
        <f t="shared" ref="F705:G705" si="367">F706</f>
        <v>6420.1</v>
      </c>
      <c r="G705" s="41">
        <f t="shared" si="367"/>
        <v>6420.1</v>
      </c>
    </row>
    <row r="706" spans="1:7" ht="15.6" customHeight="1" x14ac:dyDescent="0.25">
      <c r="A706" s="10" t="s">
        <v>151</v>
      </c>
      <c r="B706" s="38" t="s">
        <v>528</v>
      </c>
      <c r="C706" s="38" t="s">
        <v>4</v>
      </c>
      <c r="D706" s="38" t="s">
        <v>93</v>
      </c>
      <c r="E706" s="41">
        <f>6429.4</f>
        <v>6429.4</v>
      </c>
      <c r="F706" s="41">
        <f>6420.1</f>
        <v>6420.1</v>
      </c>
      <c r="G706" s="41">
        <f>6420.1</f>
        <v>6420.1</v>
      </c>
    </row>
    <row r="707" spans="1:7" ht="27.6" customHeight="1" x14ac:dyDescent="0.25">
      <c r="A707" s="32" t="s">
        <v>118</v>
      </c>
      <c r="B707" s="38" t="s">
        <v>528</v>
      </c>
      <c r="C707" s="38" t="s">
        <v>0</v>
      </c>
      <c r="D707" s="38"/>
      <c r="E707" s="41">
        <f>E708</f>
        <v>606.79999999999995</v>
      </c>
      <c r="F707" s="41">
        <f t="shared" ref="F707:G707" si="368">F708</f>
        <v>616.1</v>
      </c>
      <c r="G707" s="41">
        <f t="shared" si="368"/>
        <v>616.1</v>
      </c>
    </row>
    <row r="708" spans="1:7" ht="15.6" customHeight="1" x14ac:dyDescent="0.25">
      <c r="A708" s="10" t="s">
        <v>151</v>
      </c>
      <c r="B708" s="38" t="s">
        <v>528</v>
      </c>
      <c r="C708" s="38" t="s">
        <v>0</v>
      </c>
      <c r="D708" s="38" t="s">
        <v>93</v>
      </c>
      <c r="E708" s="41">
        <f>606.8</f>
        <v>606.79999999999995</v>
      </c>
      <c r="F708" s="41">
        <f>616.1</f>
        <v>616.1</v>
      </c>
      <c r="G708" s="41">
        <f>616.1</f>
        <v>616.1</v>
      </c>
    </row>
    <row r="709" spans="1:7" ht="15.6" customHeight="1" x14ac:dyDescent="0.25">
      <c r="A709" s="42" t="s">
        <v>252</v>
      </c>
      <c r="B709" s="38" t="s">
        <v>253</v>
      </c>
      <c r="C709" s="38"/>
      <c r="D709" s="38"/>
      <c r="E709" s="41">
        <f>E710</f>
        <v>1114.8</v>
      </c>
      <c r="F709" s="41">
        <f t="shared" ref="F709:G710" si="369">F710</f>
        <v>1114.8</v>
      </c>
      <c r="G709" s="41">
        <f t="shared" si="369"/>
        <v>1114.8</v>
      </c>
    </row>
    <row r="710" spans="1:7" ht="26.4" x14ac:dyDescent="0.25">
      <c r="A710" s="42" t="s">
        <v>529</v>
      </c>
      <c r="B710" s="38" t="s">
        <v>403</v>
      </c>
      <c r="C710" s="38"/>
      <c r="D710" s="38"/>
      <c r="E710" s="41">
        <f>E711</f>
        <v>1114.8</v>
      </c>
      <c r="F710" s="41">
        <f t="shared" si="369"/>
        <v>1114.8</v>
      </c>
      <c r="G710" s="41">
        <f t="shared" si="369"/>
        <v>1114.8</v>
      </c>
    </row>
    <row r="711" spans="1:7" ht="27.6" customHeight="1" x14ac:dyDescent="0.25">
      <c r="A711" s="42" t="s">
        <v>530</v>
      </c>
      <c r="B711" s="38" t="s">
        <v>531</v>
      </c>
      <c r="C711" s="38"/>
      <c r="D711" s="38"/>
      <c r="E711" s="41">
        <f>E712+E714</f>
        <v>1114.8</v>
      </c>
      <c r="F711" s="41">
        <f t="shared" ref="F711:G711" si="370">F712+F714</f>
        <v>1114.8</v>
      </c>
      <c r="G711" s="41">
        <f t="shared" si="370"/>
        <v>1114.8</v>
      </c>
    </row>
    <row r="712" spans="1:7" ht="48.75" customHeight="1" x14ac:dyDescent="0.25">
      <c r="A712" s="42" t="s">
        <v>117</v>
      </c>
      <c r="B712" s="38" t="s">
        <v>531</v>
      </c>
      <c r="C712" s="38" t="s">
        <v>4</v>
      </c>
      <c r="D712" s="38"/>
      <c r="E712" s="41">
        <f>E713</f>
        <v>1020.9</v>
      </c>
      <c r="F712" s="41">
        <f t="shared" ref="F712:G712" si="371">F713</f>
        <v>1020.9</v>
      </c>
      <c r="G712" s="41">
        <f t="shared" si="371"/>
        <v>1020.9</v>
      </c>
    </row>
    <row r="713" spans="1:7" x14ac:dyDescent="0.25">
      <c r="A713" s="10" t="s">
        <v>151</v>
      </c>
      <c r="B713" s="38" t="s">
        <v>531</v>
      </c>
      <c r="C713" s="38" t="s">
        <v>4</v>
      </c>
      <c r="D713" s="38" t="s">
        <v>93</v>
      </c>
      <c r="E713" s="41">
        <f>1020.9</f>
        <v>1020.9</v>
      </c>
      <c r="F713" s="41">
        <f>1020.9</f>
        <v>1020.9</v>
      </c>
      <c r="G713" s="41">
        <f>1020.9</f>
        <v>1020.9</v>
      </c>
    </row>
    <row r="714" spans="1:7" ht="26.4" x14ac:dyDescent="0.25">
      <c r="A714" s="32" t="s">
        <v>118</v>
      </c>
      <c r="B714" s="38" t="s">
        <v>531</v>
      </c>
      <c r="C714" s="38" t="s">
        <v>0</v>
      </c>
      <c r="D714" s="38"/>
      <c r="E714" s="41">
        <f>E715</f>
        <v>93.9</v>
      </c>
      <c r="F714" s="41">
        <f t="shared" ref="F714:G714" si="372">F715</f>
        <v>93.9</v>
      </c>
      <c r="G714" s="41">
        <f t="shared" si="372"/>
        <v>93.9</v>
      </c>
    </row>
    <row r="715" spans="1:7" x14ac:dyDescent="0.25">
      <c r="A715" s="10" t="s">
        <v>151</v>
      </c>
      <c r="B715" s="38" t="s">
        <v>531</v>
      </c>
      <c r="C715" s="38" t="s">
        <v>0</v>
      </c>
      <c r="D715" s="38" t="s">
        <v>93</v>
      </c>
      <c r="E715" s="41">
        <f>93.9</f>
        <v>93.9</v>
      </c>
      <c r="F715" s="41">
        <f>93.9</f>
        <v>93.9</v>
      </c>
      <c r="G715" s="41">
        <f>93.9</f>
        <v>93.9</v>
      </c>
    </row>
    <row r="716" spans="1:7" x14ac:dyDescent="0.25">
      <c r="A716" s="10" t="s">
        <v>405</v>
      </c>
      <c r="B716" s="38" t="s">
        <v>404</v>
      </c>
      <c r="C716" s="38"/>
      <c r="D716" s="38"/>
      <c r="E716" s="41">
        <f>E717+E720</f>
        <v>29771.5</v>
      </c>
      <c r="F716" s="41">
        <f t="shared" ref="F716:G716" si="373">F717+F720</f>
        <v>9800</v>
      </c>
      <c r="G716" s="41">
        <f t="shared" si="373"/>
        <v>80251.7</v>
      </c>
    </row>
    <row r="717" spans="1:7" ht="42.6" customHeight="1" x14ac:dyDescent="0.25">
      <c r="A717" s="42" t="s">
        <v>350</v>
      </c>
      <c r="B717" s="38" t="s">
        <v>349</v>
      </c>
      <c r="C717" s="38"/>
      <c r="D717" s="38"/>
      <c r="E717" s="41">
        <f>E718</f>
        <v>0</v>
      </c>
      <c r="F717" s="41">
        <f t="shared" ref="F717:G718" si="374">F718</f>
        <v>0</v>
      </c>
      <c r="G717" s="41">
        <f t="shared" si="374"/>
        <v>10451.700000000001</v>
      </c>
    </row>
    <row r="718" spans="1:7" ht="26.4" x14ac:dyDescent="0.25">
      <c r="A718" s="32" t="s">
        <v>118</v>
      </c>
      <c r="B718" s="38" t="s">
        <v>349</v>
      </c>
      <c r="C718" s="38" t="s">
        <v>0</v>
      </c>
      <c r="D718" s="38"/>
      <c r="E718" s="41">
        <f>E719</f>
        <v>0</v>
      </c>
      <c r="F718" s="41">
        <f t="shared" si="374"/>
        <v>0</v>
      </c>
      <c r="G718" s="41">
        <f t="shared" si="374"/>
        <v>10451.700000000001</v>
      </c>
    </row>
    <row r="719" spans="1:7" ht="15" customHeight="1" x14ac:dyDescent="0.25">
      <c r="A719" s="42" t="s">
        <v>169</v>
      </c>
      <c r="B719" s="38" t="s">
        <v>349</v>
      </c>
      <c r="C719" s="38" t="s">
        <v>0</v>
      </c>
      <c r="D719" s="38" t="s">
        <v>87</v>
      </c>
      <c r="E719" s="41">
        <f>0</f>
        <v>0</v>
      </c>
      <c r="F719" s="41">
        <f>0</f>
        <v>0</v>
      </c>
      <c r="G719" s="41">
        <f>10451.7</f>
        <v>10451.700000000001</v>
      </c>
    </row>
    <row r="720" spans="1:7" x14ac:dyDescent="0.25">
      <c r="A720" s="42" t="s">
        <v>254</v>
      </c>
      <c r="B720" s="38" t="s">
        <v>255</v>
      </c>
      <c r="C720" s="38"/>
      <c r="D720" s="38"/>
      <c r="E720" s="41">
        <f>E721+E723</f>
        <v>29771.5</v>
      </c>
      <c r="F720" s="41">
        <f t="shared" ref="F720:G720" si="375">F721+F723</f>
        <v>9800</v>
      </c>
      <c r="G720" s="41">
        <f t="shared" si="375"/>
        <v>69800</v>
      </c>
    </row>
    <row r="721" spans="1:7" ht="29.4" customHeight="1" x14ac:dyDescent="0.25">
      <c r="A721" s="49" t="s">
        <v>118</v>
      </c>
      <c r="B721" s="38" t="s">
        <v>255</v>
      </c>
      <c r="C721" s="38" t="s">
        <v>0</v>
      </c>
      <c r="D721" s="38"/>
      <c r="E721" s="41">
        <f>E722</f>
        <v>19090</v>
      </c>
      <c r="F721" s="41">
        <f t="shared" ref="F721:G721" si="376">F722</f>
        <v>9800</v>
      </c>
      <c r="G721" s="41">
        <f t="shared" si="376"/>
        <v>69800</v>
      </c>
    </row>
    <row r="722" spans="1:7" ht="14.25" customHeight="1" x14ac:dyDescent="0.25">
      <c r="A722" s="32" t="s">
        <v>170</v>
      </c>
      <c r="B722" s="38" t="s">
        <v>255</v>
      </c>
      <c r="C722" s="38" t="s">
        <v>0</v>
      </c>
      <c r="D722" s="38" t="s">
        <v>96</v>
      </c>
      <c r="E722" s="41">
        <f>19090</f>
        <v>19090</v>
      </c>
      <c r="F722" s="41">
        <f>9800</f>
        <v>9800</v>
      </c>
      <c r="G722" s="41">
        <f>69800</f>
        <v>69800</v>
      </c>
    </row>
    <row r="723" spans="1:7" x14ac:dyDescent="0.25">
      <c r="A723" s="32" t="s">
        <v>296</v>
      </c>
      <c r="B723" s="38" t="s">
        <v>532</v>
      </c>
      <c r="C723" s="38"/>
      <c r="D723" s="38"/>
      <c r="E723" s="41">
        <f>E724</f>
        <v>10681.5</v>
      </c>
      <c r="F723" s="41">
        <f t="shared" ref="F723:G724" si="377">F724</f>
        <v>0</v>
      </c>
      <c r="G723" s="41">
        <f t="shared" si="377"/>
        <v>0</v>
      </c>
    </row>
    <row r="724" spans="1:7" ht="29.25" customHeight="1" x14ac:dyDescent="0.25">
      <c r="A724" s="49" t="s">
        <v>118</v>
      </c>
      <c r="B724" s="38" t="s">
        <v>532</v>
      </c>
      <c r="C724" s="38" t="s">
        <v>0</v>
      </c>
      <c r="D724" s="38"/>
      <c r="E724" s="41">
        <f>E725</f>
        <v>10681.5</v>
      </c>
      <c r="F724" s="41">
        <f t="shared" si="377"/>
        <v>0</v>
      </c>
      <c r="G724" s="41">
        <f t="shared" si="377"/>
        <v>0</v>
      </c>
    </row>
    <row r="725" spans="1:7" ht="15" customHeight="1" x14ac:dyDescent="0.25">
      <c r="A725" s="32" t="s">
        <v>170</v>
      </c>
      <c r="B725" s="38" t="s">
        <v>532</v>
      </c>
      <c r="C725" s="38" t="s">
        <v>0</v>
      </c>
      <c r="D725" s="38" t="s">
        <v>96</v>
      </c>
      <c r="E725" s="41">
        <f>10681.5</f>
        <v>10681.5</v>
      </c>
      <c r="F725" s="41">
        <f>0</f>
        <v>0</v>
      </c>
      <c r="G725" s="41">
        <f>0</f>
        <v>0</v>
      </c>
    </row>
    <row r="726" spans="1:7" ht="39" customHeight="1" x14ac:dyDescent="0.25">
      <c r="A726" s="42" t="s">
        <v>256</v>
      </c>
      <c r="B726" s="38" t="s">
        <v>257</v>
      </c>
      <c r="C726" s="38"/>
      <c r="D726" s="38"/>
      <c r="E726" s="41">
        <f>E727</f>
        <v>186.6</v>
      </c>
      <c r="F726" s="41">
        <f>F727</f>
        <v>186.6</v>
      </c>
      <c r="G726" s="41">
        <f>G727</f>
        <v>186.6</v>
      </c>
    </row>
    <row r="727" spans="1:7" ht="42.6" customHeight="1" x14ac:dyDescent="0.25">
      <c r="A727" s="42" t="s">
        <v>407</v>
      </c>
      <c r="B727" s="38" t="s">
        <v>406</v>
      </c>
      <c r="C727" s="38"/>
      <c r="D727" s="38"/>
      <c r="E727" s="41">
        <f>E728+E733</f>
        <v>186.6</v>
      </c>
      <c r="F727" s="41">
        <f t="shared" ref="F727:G727" si="378">F728+F733</f>
        <v>186.6</v>
      </c>
      <c r="G727" s="41">
        <f t="shared" si="378"/>
        <v>186.6</v>
      </c>
    </row>
    <row r="728" spans="1:7" ht="42" customHeight="1" x14ac:dyDescent="0.25">
      <c r="A728" s="42" t="s">
        <v>533</v>
      </c>
      <c r="B728" s="38" t="s">
        <v>534</v>
      </c>
      <c r="C728" s="38"/>
      <c r="D728" s="38"/>
      <c r="E728" s="41">
        <f>E729+E731</f>
        <v>65.8</v>
      </c>
      <c r="F728" s="41">
        <f t="shared" ref="F728:G728" si="379">F729+F731</f>
        <v>65.8</v>
      </c>
      <c r="G728" s="41">
        <f t="shared" si="379"/>
        <v>65.8</v>
      </c>
    </row>
    <row r="729" spans="1:7" ht="53.4" customHeight="1" x14ac:dyDescent="0.25">
      <c r="A729" s="42" t="s">
        <v>117</v>
      </c>
      <c r="B729" s="38" t="s">
        <v>534</v>
      </c>
      <c r="C729" s="38" t="s">
        <v>4</v>
      </c>
      <c r="D729" s="38"/>
      <c r="E729" s="41">
        <f>E730</f>
        <v>62.7</v>
      </c>
      <c r="F729" s="41">
        <f t="shared" ref="F729:G729" si="380">F730</f>
        <v>62.7</v>
      </c>
      <c r="G729" s="41">
        <f t="shared" si="380"/>
        <v>62.7</v>
      </c>
    </row>
    <row r="730" spans="1:7" ht="15.6" customHeight="1" x14ac:dyDescent="0.25">
      <c r="A730" s="42" t="s">
        <v>258</v>
      </c>
      <c r="B730" s="38" t="s">
        <v>534</v>
      </c>
      <c r="C730" s="38" t="s">
        <v>4</v>
      </c>
      <c r="D730" s="38" t="s">
        <v>259</v>
      </c>
      <c r="E730" s="41">
        <f>62.7</f>
        <v>62.7</v>
      </c>
      <c r="F730" s="41">
        <f>62.7</f>
        <v>62.7</v>
      </c>
      <c r="G730" s="41">
        <f>62.7</f>
        <v>62.7</v>
      </c>
    </row>
    <row r="731" spans="1:7" ht="26.4" customHeight="1" x14ac:dyDescent="0.25">
      <c r="A731" s="32" t="s">
        <v>118</v>
      </c>
      <c r="B731" s="38" t="s">
        <v>534</v>
      </c>
      <c r="C731" s="38" t="s">
        <v>0</v>
      </c>
      <c r="D731" s="38"/>
      <c r="E731" s="41">
        <f>E732</f>
        <v>3.1</v>
      </c>
      <c r="F731" s="41">
        <f t="shared" ref="F731:G731" si="381">F732</f>
        <v>3.1</v>
      </c>
      <c r="G731" s="41">
        <f t="shared" si="381"/>
        <v>3.1</v>
      </c>
    </row>
    <row r="732" spans="1:7" x14ac:dyDescent="0.25">
      <c r="A732" s="42" t="s">
        <v>258</v>
      </c>
      <c r="B732" s="38" t="s">
        <v>534</v>
      </c>
      <c r="C732" s="38" t="s">
        <v>0</v>
      </c>
      <c r="D732" s="38" t="s">
        <v>259</v>
      </c>
      <c r="E732" s="41">
        <f>3.1</f>
        <v>3.1</v>
      </c>
      <c r="F732" s="41">
        <f>3.1</f>
        <v>3.1</v>
      </c>
      <c r="G732" s="41">
        <f>3.1</f>
        <v>3.1</v>
      </c>
    </row>
    <row r="733" spans="1:7" ht="26.4" x14ac:dyDescent="0.25">
      <c r="A733" s="42" t="s">
        <v>535</v>
      </c>
      <c r="B733" s="38" t="s">
        <v>536</v>
      </c>
      <c r="C733" s="38"/>
      <c r="D733" s="38"/>
      <c r="E733" s="41">
        <f>E734+E736</f>
        <v>120.8</v>
      </c>
      <c r="F733" s="41">
        <f t="shared" ref="F733:G733" si="382">F734+F736</f>
        <v>120.8</v>
      </c>
      <c r="G733" s="41">
        <f t="shared" si="382"/>
        <v>120.8</v>
      </c>
    </row>
    <row r="734" spans="1:7" ht="54" customHeight="1" x14ac:dyDescent="0.25">
      <c r="A734" s="42" t="s">
        <v>117</v>
      </c>
      <c r="B734" s="38" t="s">
        <v>536</v>
      </c>
      <c r="C734" s="38" t="s">
        <v>4</v>
      </c>
      <c r="D734" s="38"/>
      <c r="E734" s="41">
        <f>E735</f>
        <v>115</v>
      </c>
      <c r="F734" s="41">
        <f t="shared" ref="F734:G734" si="383">F735</f>
        <v>115</v>
      </c>
      <c r="G734" s="41">
        <f t="shared" si="383"/>
        <v>115</v>
      </c>
    </row>
    <row r="735" spans="1:7" ht="15" customHeight="1" x14ac:dyDescent="0.25">
      <c r="A735" s="42" t="s">
        <v>258</v>
      </c>
      <c r="B735" s="38" t="s">
        <v>536</v>
      </c>
      <c r="C735" s="38" t="s">
        <v>4</v>
      </c>
      <c r="D735" s="38" t="s">
        <v>259</v>
      </c>
      <c r="E735" s="41">
        <f>115</f>
        <v>115</v>
      </c>
      <c r="F735" s="41">
        <f>115</f>
        <v>115</v>
      </c>
      <c r="G735" s="41">
        <f>115</f>
        <v>115</v>
      </c>
    </row>
    <row r="736" spans="1:7" ht="30" customHeight="1" x14ac:dyDescent="0.25">
      <c r="A736" s="32" t="s">
        <v>118</v>
      </c>
      <c r="B736" s="38" t="s">
        <v>536</v>
      </c>
      <c r="C736" s="38" t="s">
        <v>0</v>
      </c>
      <c r="D736" s="38"/>
      <c r="E736" s="41">
        <f>E737</f>
        <v>5.8</v>
      </c>
      <c r="F736" s="41">
        <f t="shared" ref="F736:G736" si="384">F737</f>
        <v>5.8</v>
      </c>
      <c r="G736" s="41">
        <f t="shared" si="384"/>
        <v>5.8</v>
      </c>
    </row>
    <row r="737" spans="1:17" ht="15" customHeight="1" x14ac:dyDescent="0.25">
      <c r="A737" s="42" t="s">
        <v>258</v>
      </c>
      <c r="B737" s="38" t="s">
        <v>536</v>
      </c>
      <c r="C737" s="38" t="s">
        <v>0</v>
      </c>
      <c r="D737" s="38" t="s">
        <v>259</v>
      </c>
      <c r="E737" s="41">
        <f>5.8</f>
        <v>5.8</v>
      </c>
      <c r="F737" s="41">
        <f>5.8</f>
        <v>5.8</v>
      </c>
      <c r="G737" s="41">
        <f>5.8</f>
        <v>5.8</v>
      </c>
    </row>
    <row r="738" spans="1:17" ht="15" customHeight="1" x14ac:dyDescent="0.25">
      <c r="A738" s="42" t="s">
        <v>260</v>
      </c>
      <c r="B738" s="38" t="s">
        <v>261</v>
      </c>
      <c r="C738" s="38"/>
      <c r="D738" s="38"/>
      <c r="E738" s="41">
        <f>E739+E741+E743</f>
        <v>36269.599999999999</v>
      </c>
      <c r="F738" s="41">
        <f t="shared" ref="F738:G738" si="385">F739+F741+F743</f>
        <v>25172.199999999997</v>
      </c>
      <c r="G738" s="41">
        <f t="shared" si="385"/>
        <v>25652.5</v>
      </c>
    </row>
    <row r="739" spans="1:17" ht="26.4" x14ac:dyDescent="0.25">
      <c r="A739" s="32" t="s">
        <v>118</v>
      </c>
      <c r="B739" s="38" t="s">
        <v>261</v>
      </c>
      <c r="C739" s="38" t="s">
        <v>0</v>
      </c>
      <c r="D739" s="38"/>
      <c r="E739" s="41">
        <f>E740</f>
        <v>34030.400000000001</v>
      </c>
      <c r="F739" s="41">
        <f>F740</f>
        <v>25172.199999999997</v>
      </c>
      <c r="G739" s="41">
        <f>G740</f>
        <v>25652.5</v>
      </c>
    </row>
    <row r="740" spans="1:17" ht="15" customHeight="1" x14ac:dyDescent="0.25">
      <c r="A740" s="42" t="s">
        <v>170</v>
      </c>
      <c r="B740" s="38" t="s">
        <v>261</v>
      </c>
      <c r="C740" s="38" t="s">
        <v>0</v>
      </c>
      <c r="D740" s="38" t="s">
        <v>96</v>
      </c>
      <c r="E740" s="41">
        <f>34030.4</f>
        <v>34030.400000000001</v>
      </c>
      <c r="F740" s="41">
        <f>34172.2-9000</f>
        <v>25172.199999999997</v>
      </c>
      <c r="G740" s="41">
        <f>35652.5-10000</f>
        <v>25652.5</v>
      </c>
    </row>
    <row r="741" spans="1:17" ht="15" customHeight="1" x14ac:dyDescent="0.25">
      <c r="A741" s="42" t="s">
        <v>152</v>
      </c>
      <c r="B741" s="38" t="s">
        <v>261</v>
      </c>
      <c r="C741" s="38" t="s">
        <v>1</v>
      </c>
      <c r="D741" s="38"/>
      <c r="E741" s="41">
        <f>E742</f>
        <v>1639.2</v>
      </c>
      <c r="F741" s="41">
        <f t="shared" ref="F741:G741" si="386">F742</f>
        <v>0</v>
      </c>
      <c r="G741" s="41">
        <f t="shared" si="386"/>
        <v>0</v>
      </c>
    </row>
    <row r="742" spans="1:17" ht="16.95" customHeight="1" x14ac:dyDescent="0.25">
      <c r="A742" s="42" t="s">
        <v>170</v>
      </c>
      <c r="B742" s="38" t="s">
        <v>261</v>
      </c>
      <c r="C742" s="38" t="s">
        <v>1</v>
      </c>
      <c r="D742" s="38" t="s">
        <v>96</v>
      </c>
      <c r="E742" s="41">
        <f>1639.2</f>
        <v>1639.2</v>
      </c>
      <c r="F742" s="41">
        <v>0</v>
      </c>
      <c r="G742" s="41">
        <v>0</v>
      </c>
    </row>
    <row r="743" spans="1:17" ht="27" customHeight="1" x14ac:dyDescent="0.25">
      <c r="A743" s="42" t="s">
        <v>296</v>
      </c>
      <c r="B743" s="38" t="s">
        <v>447</v>
      </c>
      <c r="C743" s="38"/>
      <c r="D743" s="38"/>
      <c r="E743" s="41">
        <f>E744</f>
        <v>600</v>
      </c>
      <c r="F743" s="41">
        <f t="shared" ref="F743:G744" si="387">F744</f>
        <v>0</v>
      </c>
      <c r="G743" s="41">
        <f t="shared" si="387"/>
        <v>0</v>
      </c>
    </row>
    <row r="744" spans="1:17" ht="26.4" customHeight="1" x14ac:dyDescent="0.25">
      <c r="A744" s="32" t="s">
        <v>118</v>
      </c>
      <c r="B744" s="38" t="s">
        <v>447</v>
      </c>
      <c r="C744" s="38" t="s">
        <v>0</v>
      </c>
      <c r="D744" s="38"/>
      <c r="E744" s="41">
        <f>E745</f>
        <v>600</v>
      </c>
      <c r="F744" s="41">
        <f t="shared" si="387"/>
        <v>0</v>
      </c>
      <c r="G744" s="41">
        <f t="shared" si="387"/>
        <v>0</v>
      </c>
    </row>
    <row r="745" spans="1:17" ht="15" customHeight="1" x14ac:dyDescent="0.25">
      <c r="A745" s="42" t="s">
        <v>170</v>
      </c>
      <c r="B745" s="38" t="s">
        <v>447</v>
      </c>
      <c r="C745" s="38" t="s">
        <v>0</v>
      </c>
      <c r="D745" s="38" t="s">
        <v>96</v>
      </c>
      <c r="E745" s="41">
        <f>600</f>
        <v>600</v>
      </c>
      <c r="F745" s="41">
        <f>0</f>
        <v>0</v>
      </c>
      <c r="G745" s="41">
        <f>0</f>
        <v>0</v>
      </c>
      <c r="H745" s="5"/>
      <c r="I745" s="5"/>
      <c r="J745" s="5"/>
    </row>
    <row r="746" spans="1:17" ht="37.950000000000003" customHeight="1" x14ac:dyDescent="0.25">
      <c r="A746" s="42" t="s">
        <v>262</v>
      </c>
      <c r="B746" s="38" t="s">
        <v>263</v>
      </c>
      <c r="C746" s="38"/>
      <c r="D746" s="38"/>
      <c r="E746" s="41">
        <f>E747</f>
        <v>6805.1</v>
      </c>
      <c r="F746" s="41">
        <f t="shared" ref="F746:G751" si="388">F747</f>
        <v>6805.1</v>
      </c>
      <c r="G746" s="41">
        <f t="shared" si="388"/>
        <v>6805.1</v>
      </c>
      <c r="H746" s="4"/>
      <c r="I746" s="4"/>
      <c r="J746" s="4"/>
      <c r="K746" s="4"/>
      <c r="L746" s="4"/>
      <c r="M746" s="4"/>
      <c r="N746" s="23"/>
      <c r="O746" s="23"/>
      <c r="P746" s="23"/>
      <c r="Q746" s="23"/>
    </row>
    <row r="747" spans="1:17" s="26" customFormat="1" ht="30.6" customHeight="1" x14ac:dyDescent="0.35">
      <c r="A747" s="42" t="s">
        <v>409</v>
      </c>
      <c r="B747" s="38" t="s">
        <v>408</v>
      </c>
      <c r="C747" s="38"/>
      <c r="D747" s="38"/>
      <c r="E747" s="41">
        <f>E748</f>
        <v>6805.1</v>
      </c>
      <c r="F747" s="41">
        <f t="shared" si="388"/>
        <v>6805.1</v>
      </c>
      <c r="G747" s="41">
        <f t="shared" si="388"/>
        <v>6805.1</v>
      </c>
      <c r="H747" s="25"/>
      <c r="I747" s="25"/>
      <c r="J747" s="25"/>
      <c r="K747" s="25"/>
      <c r="L747" s="6"/>
      <c r="N747" s="25"/>
      <c r="O747" s="25"/>
      <c r="P747" s="25"/>
      <c r="Q747" s="25"/>
    </row>
    <row r="748" spans="1:17" ht="39.6" x14ac:dyDescent="0.25">
      <c r="A748" s="42" t="s">
        <v>537</v>
      </c>
      <c r="B748" s="38" t="s">
        <v>538</v>
      </c>
      <c r="C748" s="38"/>
      <c r="D748" s="38"/>
      <c r="E748" s="41">
        <f>E751+E749</f>
        <v>6805.1</v>
      </c>
      <c r="F748" s="41">
        <f t="shared" ref="F748:G748" si="389">F751+F749</f>
        <v>6805.1</v>
      </c>
      <c r="G748" s="41">
        <f t="shared" si="389"/>
        <v>6805.1</v>
      </c>
    </row>
    <row r="749" spans="1:17" ht="52.8" x14ac:dyDescent="0.25">
      <c r="A749" s="42" t="s">
        <v>117</v>
      </c>
      <c r="B749" s="38" t="s">
        <v>538</v>
      </c>
      <c r="C749" s="38" t="s">
        <v>4</v>
      </c>
      <c r="D749" s="38"/>
      <c r="E749" s="41">
        <f>E750</f>
        <v>618.6</v>
      </c>
      <c r="F749" s="41">
        <f t="shared" ref="F749:G749" si="390">F750</f>
        <v>618.6</v>
      </c>
      <c r="G749" s="41">
        <f t="shared" si="390"/>
        <v>618.6</v>
      </c>
    </row>
    <row r="750" spans="1:17" x14ac:dyDescent="0.25">
      <c r="A750" s="42" t="s">
        <v>411</v>
      </c>
      <c r="B750" s="38" t="s">
        <v>538</v>
      </c>
      <c r="C750" s="38" t="s">
        <v>4</v>
      </c>
      <c r="D750" s="38" t="s">
        <v>410</v>
      </c>
      <c r="E750" s="41">
        <f>618.6</f>
        <v>618.6</v>
      </c>
      <c r="F750" s="41">
        <f>618.6</f>
        <v>618.6</v>
      </c>
      <c r="G750" s="41">
        <f>618.6</f>
        <v>618.6</v>
      </c>
    </row>
    <row r="751" spans="1:17" ht="28.95" customHeight="1" x14ac:dyDescent="0.25">
      <c r="A751" s="32" t="s">
        <v>118</v>
      </c>
      <c r="B751" s="38" t="s">
        <v>538</v>
      </c>
      <c r="C751" s="38" t="s">
        <v>0</v>
      </c>
      <c r="D751" s="38"/>
      <c r="E751" s="41">
        <f>E752</f>
        <v>6186.5</v>
      </c>
      <c r="F751" s="41">
        <f t="shared" si="388"/>
        <v>6186.5</v>
      </c>
      <c r="G751" s="41">
        <f t="shared" si="388"/>
        <v>6186.5</v>
      </c>
    </row>
    <row r="752" spans="1:17" ht="18.600000000000001" customHeight="1" x14ac:dyDescent="0.25">
      <c r="A752" s="42" t="s">
        <v>171</v>
      </c>
      <c r="B752" s="38" t="s">
        <v>538</v>
      </c>
      <c r="C752" s="38" t="s">
        <v>0</v>
      </c>
      <c r="D752" s="38" t="s">
        <v>97</v>
      </c>
      <c r="E752" s="41">
        <f>6186.5</f>
        <v>6186.5</v>
      </c>
      <c r="F752" s="41">
        <f>6186.5</f>
        <v>6186.5</v>
      </c>
      <c r="G752" s="41">
        <f>6186.5</f>
        <v>6186.5</v>
      </c>
    </row>
    <row r="753" spans="1:7" ht="15.6" customHeight="1" x14ac:dyDescent="0.25">
      <c r="A753" s="42" t="s">
        <v>266</v>
      </c>
      <c r="B753" s="38" t="s">
        <v>267</v>
      </c>
      <c r="C753" s="38"/>
      <c r="D753" s="38"/>
      <c r="E753" s="41">
        <f>E754</f>
        <v>1134.9000000000001</v>
      </c>
      <c r="F753" s="41">
        <f t="shared" ref="F753:G753" si="391">F754</f>
        <v>1135.5</v>
      </c>
      <c r="G753" s="41">
        <f t="shared" si="391"/>
        <v>1318.1</v>
      </c>
    </row>
    <row r="754" spans="1:7" ht="28.2" customHeight="1" x14ac:dyDescent="0.25">
      <c r="A754" s="42" t="s">
        <v>268</v>
      </c>
      <c r="B754" s="38" t="s">
        <v>284</v>
      </c>
      <c r="C754" s="38"/>
      <c r="D754" s="38"/>
      <c r="E754" s="41">
        <f>E755+E758+E763</f>
        <v>1134.9000000000001</v>
      </c>
      <c r="F754" s="41">
        <f t="shared" ref="F754:G754" si="392">F755+F758+F763</f>
        <v>1135.5</v>
      </c>
      <c r="G754" s="41">
        <f t="shared" si="392"/>
        <v>1318.1</v>
      </c>
    </row>
    <row r="755" spans="1:7" ht="42" customHeight="1" x14ac:dyDescent="0.25">
      <c r="A755" s="42" t="s">
        <v>539</v>
      </c>
      <c r="B755" s="38" t="s">
        <v>540</v>
      </c>
      <c r="C755" s="50"/>
      <c r="D755" s="50"/>
      <c r="E755" s="41">
        <f>E756</f>
        <v>15.9</v>
      </c>
      <c r="F755" s="41">
        <f t="shared" ref="F755:G756" si="393">F756</f>
        <v>16.5</v>
      </c>
      <c r="G755" s="41">
        <f t="shared" si="393"/>
        <v>199.1</v>
      </c>
    </row>
    <row r="756" spans="1:7" ht="26.4" x14ac:dyDescent="0.25">
      <c r="A756" s="32" t="s">
        <v>118</v>
      </c>
      <c r="B756" s="38" t="s">
        <v>540</v>
      </c>
      <c r="C756" s="38" t="s">
        <v>0</v>
      </c>
      <c r="D756" s="38"/>
      <c r="E756" s="41">
        <f>E757</f>
        <v>15.9</v>
      </c>
      <c r="F756" s="41">
        <f t="shared" si="393"/>
        <v>16.5</v>
      </c>
      <c r="G756" s="41">
        <f t="shared" si="393"/>
        <v>199.1</v>
      </c>
    </row>
    <row r="757" spans="1:7" ht="17.399999999999999" customHeight="1" x14ac:dyDescent="0.25">
      <c r="A757" s="42" t="s">
        <v>264</v>
      </c>
      <c r="B757" s="38" t="s">
        <v>540</v>
      </c>
      <c r="C757" s="38" t="s">
        <v>0</v>
      </c>
      <c r="D757" s="38" t="s">
        <v>265</v>
      </c>
      <c r="E757" s="41">
        <f>15.9</f>
        <v>15.9</v>
      </c>
      <c r="F757" s="41">
        <f>16.5</f>
        <v>16.5</v>
      </c>
      <c r="G757" s="41">
        <f>199.1</f>
        <v>199.1</v>
      </c>
    </row>
    <row r="758" spans="1:7" ht="39.6" customHeight="1" x14ac:dyDescent="0.25">
      <c r="A758" s="42" t="s">
        <v>541</v>
      </c>
      <c r="B758" s="38" t="s">
        <v>542</v>
      </c>
      <c r="C758" s="38"/>
      <c r="D758" s="38"/>
      <c r="E758" s="41">
        <f>E759+E761</f>
        <v>1118.3</v>
      </c>
      <c r="F758" s="41">
        <f t="shared" ref="F758:G758" si="394">F759+F761</f>
        <v>1118.3</v>
      </c>
      <c r="G758" s="41">
        <f t="shared" si="394"/>
        <v>1118.3</v>
      </c>
    </row>
    <row r="759" spans="1:7" ht="55.2" customHeight="1" x14ac:dyDescent="0.25">
      <c r="A759" s="42" t="s">
        <v>117</v>
      </c>
      <c r="B759" s="38" t="s">
        <v>542</v>
      </c>
      <c r="C759" s="38" t="s">
        <v>4</v>
      </c>
      <c r="D759" s="38"/>
      <c r="E759" s="41">
        <f>E760</f>
        <v>1024.0999999999999</v>
      </c>
      <c r="F759" s="41">
        <f t="shared" ref="F759:G759" si="395">F760</f>
        <v>1024.0999999999999</v>
      </c>
      <c r="G759" s="41">
        <f t="shared" si="395"/>
        <v>1024.0999999999999</v>
      </c>
    </row>
    <row r="760" spans="1:7" ht="18.600000000000001" customHeight="1" x14ac:dyDescent="0.25">
      <c r="A760" s="10" t="s">
        <v>151</v>
      </c>
      <c r="B760" s="38" t="s">
        <v>542</v>
      </c>
      <c r="C760" s="38" t="s">
        <v>4</v>
      </c>
      <c r="D760" s="38" t="s">
        <v>93</v>
      </c>
      <c r="E760" s="41">
        <f>1024.1</f>
        <v>1024.0999999999999</v>
      </c>
      <c r="F760" s="41">
        <f>1024.1</f>
        <v>1024.0999999999999</v>
      </c>
      <c r="G760" s="41">
        <f>1024.1</f>
        <v>1024.0999999999999</v>
      </c>
    </row>
    <row r="761" spans="1:7" ht="31.95" customHeight="1" x14ac:dyDescent="0.25">
      <c r="A761" s="32" t="s">
        <v>118</v>
      </c>
      <c r="B761" s="38" t="s">
        <v>542</v>
      </c>
      <c r="C761" s="38" t="s">
        <v>0</v>
      </c>
      <c r="D761" s="38"/>
      <c r="E761" s="41">
        <f>E762</f>
        <v>94.2</v>
      </c>
      <c r="F761" s="41">
        <f t="shared" ref="F761:G761" si="396">F762</f>
        <v>94.2</v>
      </c>
      <c r="G761" s="41">
        <f t="shared" si="396"/>
        <v>94.2</v>
      </c>
    </row>
    <row r="762" spans="1:7" ht="16.95" customHeight="1" x14ac:dyDescent="0.25">
      <c r="A762" s="10" t="s">
        <v>151</v>
      </c>
      <c r="B762" s="38" t="s">
        <v>542</v>
      </c>
      <c r="C762" s="38" t="s">
        <v>0</v>
      </c>
      <c r="D762" s="38" t="s">
        <v>93</v>
      </c>
      <c r="E762" s="41">
        <v>94.2</v>
      </c>
      <c r="F762" s="41">
        <v>94.2</v>
      </c>
      <c r="G762" s="41">
        <v>94.2</v>
      </c>
    </row>
    <row r="763" spans="1:7" ht="70.2" customHeight="1" x14ac:dyDescent="0.25">
      <c r="A763" s="48" t="s">
        <v>543</v>
      </c>
      <c r="B763" s="38" t="s">
        <v>544</v>
      </c>
      <c r="C763" s="38"/>
      <c r="D763" s="38"/>
      <c r="E763" s="41">
        <f>E764</f>
        <v>0.7</v>
      </c>
      <c r="F763" s="41">
        <f t="shared" ref="F763:G764" si="397">F764</f>
        <v>0.7</v>
      </c>
      <c r="G763" s="41">
        <f t="shared" si="397"/>
        <v>0.7</v>
      </c>
    </row>
    <row r="764" spans="1:7" ht="31.8" customHeight="1" x14ac:dyDescent="0.25">
      <c r="A764" s="32" t="s">
        <v>118</v>
      </c>
      <c r="B764" s="38" t="s">
        <v>544</v>
      </c>
      <c r="C764" s="38" t="s">
        <v>0</v>
      </c>
      <c r="D764" s="38"/>
      <c r="E764" s="41">
        <f>E765</f>
        <v>0.7</v>
      </c>
      <c r="F764" s="41">
        <f t="shared" si="397"/>
        <v>0.7</v>
      </c>
      <c r="G764" s="41">
        <f t="shared" si="397"/>
        <v>0.7</v>
      </c>
    </row>
    <row r="765" spans="1:7" ht="20.399999999999999" customHeight="1" x14ac:dyDescent="0.25">
      <c r="A765" s="10" t="s">
        <v>151</v>
      </c>
      <c r="B765" s="38" t="s">
        <v>544</v>
      </c>
      <c r="C765" s="38" t="s">
        <v>0</v>
      </c>
      <c r="D765" s="38" t="s">
        <v>93</v>
      </c>
      <c r="E765" s="41">
        <f>0.7</f>
        <v>0.7</v>
      </c>
      <c r="F765" s="41">
        <f t="shared" ref="F765:G765" si="398">0.7</f>
        <v>0.7</v>
      </c>
      <c r="G765" s="41">
        <f t="shared" si="398"/>
        <v>0.7</v>
      </c>
    </row>
    <row r="766" spans="1:7" ht="19.2" customHeight="1" x14ac:dyDescent="0.25">
      <c r="A766" s="10" t="s">
        <v>550</v>
      </c>
      <c r="B766" s="38"/>
      <c r="C766" s="38"/>
      <c r="D766" s="38"/>
      <c r="E766" s="41">
        <v>0</v>
      </c>
      <c r="F766" s="41">
        <v>24100</v>
      </c>
      <c r="G766" s="41">
        <v>44600</v>
      </c>
    </row>
    <row r="767" spans="1:7" ht="15.6" customHeight="1" x14ac:dyDescent="0.25">
      <c r="A767" s="10" t="s">
        <v>28</v>
      </c>
      <c r="B767" s="38"/>
      <c r="C767" s="38"/>
      <c r="D767" s="38"/>
      <c r="E767" s="41">
        <f>E9+E558+E766</f>
        <v>4986430.8000000007</v>
      </c>
      <c r="F767" s="41">
        <f t="shared" ref="F767:G767" si="399">F9+F558+F766</f>
        <v>2500272.2999999998</v>
      </c>
      <c r="G767" s="41">
        <f t="shared" si="399"/>
        <v>2271950.0999999996</v>
      </c>
    </row>
    <row r="768" spans="1:7" ht="21" customHeight="1" x14ac:dyDescent="0.25"/>
    <row r="769" spans="1:7" ht="18" x14ac:dyDescent="0.25">
      <c r="A769" s="52" t="s">
        <v>545</v>
      </c>
      <c r="B769" s="23"/>
      <c r="C769" s="23"/>
      <c r="D769" s="23"/>
      <c r="F769" s="53"/>
      <c r="G769" s="53" t="s">
        <v>546</v>
      </c>
    </row>
    <row r="770" spans="1:7" ht="24" customHeight="1" x14ac:dyDescent="0.25">
      <c r="A770" s="52"/>
      <c r="B770" s="23"/>
      <c r="C770" s="23"/>
      <c r="D770" s="23"/>
      <c r="F770" s="53"/>
      <c r="G770" s="53"/>
    </row>
    <row r="771" spans="1:7" ht="24.75" customHeight="1" x14ac:dyDescent="0.35">
      <c r="A771" s="54" t="s">
        <v>547</v>
      </c>
      <c r="B771" s="54"/>
      <c r="C771" s="55"/>
      <c r="D771" s="55"/>
      <c r="E771" s="56"/>
      <c r="F771" s="57"/>
      <c r="G771" s="57" t="s">
        <v>548</v>
      </c>
    </row>
  </sheetData>
  <mergeCells count="6">
    <mergeCell ref="J6:L6"/>
    <mergeCell ref="J7:L7"/>
    <mergeCell ref="E1:G1"/>
    <mergeCell ref="C2:G2"/>
    <mergeCell ref="A5:G5"/>
    <mergeCell ref="C3:G3"/>
  </mergeCells>
  <phoneticPr fontId="17" type="noConversion"/>
  <pageMargins left="0.78740157480314965" right="0.78740157480314965" top="1.1811023622047245" bottom="0.59055118110236227" header="0.31496062992125984" footer="0.31496062992125984"/>
  <pageSetup paperSize="9" fitToHeight="0" orientation="landscape" r:id="rId1"/>
  <headerFooter differentFirst="1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"/>
  <sheetViews>
    <sheetView workbookViewId="0">
      <selection activeCell="H23" sqref="H23"/>
    </sheetView>
  </sheetViews>
  <sheetFormatPr defaultRowHeight="14.4" x14ac:dyDescent="0.3"/>
  <cols>
    <col min="1" max="1" width="13.5546875" customWidth="1"/>
  </cols>
  <sheetData>
    <row r="2" spans="1:1" x14ac:dyDescent="0.3">
      <c r="A2" s="1"/>
    </row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"/>
  <sheetViews>
    <sheetView workbookViewId="0">
      <selection activeCell="C1" sqref="C1:C2"/>
    </sheetView>
  </sheetViews>
  <sheetFormatPr defaultRowHeight="14.4" x14ac:dyDescent="0.3"/>
  <cols>
    <col min="1" max="1" width="17.88671875" customWidth="1"/>
    <col min="3" max="3" width="13.88671875" customWidth="1"/>
  </cols>
  <sheetData>
    <row r="2" spans="3:3" x14ac:dyDescent="0.3">
      <c r="C2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мп</vt:lpstr>
      <vt:lpstr>Лист2</vt:lpstr>
      <vt:lpstr>Лист1</vt:lpstr>
      <vt:lpstr>мп!Заголовки_для_печати</vt:lpstr>
      <vt:lpstr>мп!Область_печати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Matveeva</dc:creator>
  <cp:lastModifiedBy>KrasnoperovaES</cp:lastModifiedBy>
  <cp:lastPrinted>2024-09-26T03:55:04Z</cp:lastPrinted>
  <dcterms:created xsi:type="dcterms:W3CDTF">2017-11-15T01:38:32Z</dcterms:created>
  <dcterms:modified xsi:type="dcterms:W3CDTF">2024-09-26T03:55:39Z</dcterms:modified>
</cp:coreProperties>
</file>